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30" windowWidth="11550" windowHeight="6510" activeTab="2"/>
  </bookViews>
  <sheets>
    <sheet name="Principal" sheetId="1" r:id="rId1"/>
    <sheet name="Estadios" sheetId="2" r:id="rId2"/>
    <sheet name="- A -" sheetId="3" r:id="rId3"/>
    <sheet name="- B -" sheetId="4" r:id="rId4"/>
    <sheet name="- C -" sheetId="5" r:id="rId5"/>
    <sheet name="- D -" sheetId="6" r:id="rId6"/>
    <sheet name="- E -" sheetId="7" r:id="rId7"/>
    <sheet name="- F -" sheetId="8" r:id="rId8"/>
    <sheet name="- G -" sheetId="9" r:id="rId9"/>
    <sheet name="- H -" sheetId="10" r:id="rId10"/>
    <sheet name="Oitavas de Final" sheetId="11" r:id="rId11"/>
    <sheet name="Quartas de Final" sheetId="12" r:id="rId12"/>
    <sheet name="Semifinal" sheetId="13" r:id="rId13"/>
    <sheet name="3º Lugar e FINAL" sheetId="14" r:id="rId14"/>
    <sheet name="Fixture" sheetId="15" r:id="rId15"/>
    <sheet name="calculoH" sheetId="16" state="hidden" r:id="rId16"/>
    <sheet name="calculoG" sheetId="17" state="hidden" r:id="rId17"/>
    <sheet name="calculoF" sheetId="18" state="hidden" r:id="rId18"/>
    <sheet name="calculoE" sheetId="19" state="hidden" r:id="rId19"/>
    <sheet name="calculoD" sheetId="20" state="hidden" r:id="rId20"/>
    <sheet name="calculoC" sheetId="21" state="hidden" r:id="rId21"/>
    <sheet name="calculoA" sheetId="22" state="hidden" r:id="rId22"/>
    <sheet name="calculoB" sheetId="23" state="hidden" r:id="rId2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<sst xmlns="http://schemas.openxmlformats.org/spreadsheetml/2006/main" count="762" uniqueCount="162">
  <si>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</si>
  <si>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</si>
  <si>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</si>
  <si>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</si>
  <si>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</si>
  <si>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</si>
  <si>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</si>
  <si>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</si>
  <si>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</si>
  <si>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</si>
  <si>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</si>
  <si>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</si>
  <si>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</si>
  <si>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</si>
  <si>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sede</t>
  </si>
  <si>
    <t>día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</si>
  <si>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</si>
  <si>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</si>
  <si>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</si>
  <si>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</si>
  <si>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</si>
  <si>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</si>
  <si>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</si>
  <si>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</si>
  <si>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</si>
  <si>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no jugados</t>
  </si>
  <si>
    <t>tabla preliminar</t>
  </si>
  <si>
    <t>tabla definitiva</t>
  </si>
  <si>
    <t>resultados</t>
  </si>
  <si>
    <t>resultado</t>
  </si>
  <si>
    <t>A</t>
  </si>
  <si>
    <t>B</t>
  </si>
  <si>
    <t>C</t>
  </si>
  <si>
    <t>D</t>
  </si>
  <si>
    <t>final</t>
  </si>
  <si>
    <t>F I N A L</t>
  </si>
  <si>
    <t>F</t>
  </si>
  <si>
    <t>H</t>
  </si>
  <si>
    <t>Brasil</t>
  </si>
  <si>
    <t>Portugal</t>
  </si>
  <si>
    <t>Argentina</t>
  </si>
  <si>
    <t>Inglaterra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</si>
  <si>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</si>
  <si>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</si>
  <si>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</si>
  <si>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</si>
  <si>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</si>
  <si>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</si>
  <si>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</si>
  <si>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</si>
  <si>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FINAL</t>
  </si>
  <si>
    <t>SemiFinal</t>
  </si>
  <si>
    <t>ESTADIOS</t>
  </si>
  <si>
    <t>Menu Principal</t>
  </si>
  <si>
    <t>hora</t>
  </si>
  <si>
    <r>
      <t xml:space="preserve">GRUPO </t>
    </r>
    <r>
      <rPr>
        <b/>
        <sz val="22"/>
        <color indexed="47"/>
        <rFont val="Verdana"/>
        <family val="2"/>
      </rPr>
      <t>A</t>
    </r>
  </si>
  <si>
    <r>
      <t xml:space="preserve">GRUPO </t>
    </r>
    <r>
      <rPr>
        <b/>
        <sz val="22"/>
        <color indexed="47"/>
        <rFont val="Arial"/>
        <family val="2"/>
      </rPr>
      <t>B</t>
    </r>
  </si>
  <si>
    <r>
      <t xml:space="preserve">GRUPO </t>
    </r>
    <r>
      <rPr>
        <b/>
        <sz val="22"/>
        <color indexed="47"/>
        <rFont val="Arial"/>
        <family val="2"/>
      </rPr>
      <t>C</t>
    </r>
  </si>
  <si>
    <r>
      <t xml:space="preserve">GRUPO </t>
    </r>
    <r>
      <rPr>
        <b/>
        <sz val="22"/>
        <color indexed="47"/>
        <rFont val="Arial"/>
        <family val="2"/>
      </rPr>
      <t>D</t>
    </r>
  </si>
  <si>
    <r>
      <t xml:space="preserve">GRUPO </t>
    </r>
    <r>
      <rPr>
        <b/>
        <sz val="22"/>
        <color indexed="47"/>
        <rFont val="Arial"/>
        <family val="2"/>
      </rPr>
      <t>E</t>
    </r>
  </si>
  <si>
    <r>
      <t xml:space="preserve">GRUPO </t>
    </r>
    <r>
      <rPr>
        <b/>
        <sz val="22"/>
        <color indexed="47"/>
        <rFont val="Arial"/>
        <family val="2"/>
      </rPr>
      <t>F</t>
    </r>
  </si>
  <si>
    <r>
      <t xml:space="preserve">GRUPO </t>
    </r>
    <r>
      <rPr>
        <b/>
        <sz val="22"/>
        <color indexed="47"/>
        <rFont val="Arial"/>
        <family val="2"/>
      </rPr>
      <t>G</t>
    </r>
  </si>
  <si>
    <r>
      <t xml:space="preserve">GRUPO </t>
    </r>
    <r>
      <rPr>
        <b/>
        <sz val="22"/>
        <color indexed="47"/>
        <rFont val="Arial"/>
        <family val="2"/>
      </rPr>
      <t>H</t>
    </r>
  </si>
  <si>
    <t>Holanda</t>
  </si>
  <si>
    <t>Semifinal</t>
  </si>
  <si>
    <t>1A</t>
  </si>
  <si>
    <t>2B</t>
  </si>
  <si>
    <t>1C</t>
  </si>
  <si>
    <t>2D</t>
  </si>
  <si>
    <t>1B</t>
  </si>
  <si>
    <t>2A</t>
  </si>
  <si>
    <t>1D</t>
  </si>
  <si>
    <t>2C</t>
  </si>
  <si>
    <t>1E</t>
  </si>
  <si>
    <t>2F</t>
  </si>
  <si>
    <t>1G</t>
  </si>
  <si>
    <t>2H</t>
  </si>
  <si>
    <t>1F</t>
  </si>
  <si>
    <t>2E</t>
  </si>
  <si>
    <t>1H</t>
  </si>
  <si>
    <t>2G</t>
  </si>
  <si>
    <t>Final</t>
  </si>
  <si>
    <t>Fixture ( para imprimir )</t>
  </si>
  <si>
    <t>Alemanha</t>
  </si>
  <si>
    <t>Paraguai</t>
  </si>
  <si>
    <t>Costa do Marfim</t>
  </si>
  <si>
    <t>México</t>
  </si>
  <si>
    <t>Gana</t>
  </si>
  <si>
    <t>Itália</t>
  </si>
  <si>
    <t>Austrália</t>
  </si>
  <si>
    <t>Japão</t>
  </si>
  <si>
    <t>França</t>
  </si>
  <si>
    <t>Suiça</t>
  </si>
  <si>
    <t>Espanha</t>
  </si>
  <si>
    <t>Oitavas de Final</t>
  </si>
  <si>
    <t>Quartas de Final</t>
  </si>
  <si>
    <t>CAMPEÃO</t>
  </si>
  <si>
    <t>penaltis</t>
  </si>
  <si>
    <t>sede / data / hora</t>
  </si>
  <si>
    <t>3º Lugar</t>
  </si>
  <si>
    <t>3º lugar</t>
  </si>
  <si>
    <t>para semifinal</t>
  </si>
  <si>
    <t>para as quartas de final</t>
  </si>
  <si>
    <t>PROGRAMAÇÃO DAS PARTIDAS</t>
  </si>
  <si>
    <t>data e hora atual:</t>
  </si>
  <si>
    <t>CLASSIFICAÇÃO</t>
  </si>
  <si>
    <t>C.do Marfim</t>
  </si>
  <si>
    <r>
      <t>avança as oitavas de final</t>
    </r>
    <r>
      <rPr>
        <sz val="8"/>
        <color indexed="60"/>
        <rFont val="Arial Narrow"/>
        <family val="2"/>
      </rPr>
      <t xml:space="preserve"> </t>
    </r>
    <r>
      <rPr>
        <b/>
        <sz val="8"/>
        <color indexed="60"/>
        <rFont val="Wingdings"/>
        <family val="0"/>
      </rPr>
      <t>Ø</t>
    </r>
  </si>
  <si>
    <r>
      <t xml:space="preserve">avança as oitavas de final </t>
    </r>
    <r>
      <rPr>
        <b/>
        <sz val="8"/>
        <color indexed="60"/>
        <rFont val="Wingdings"/>
        <family val="0"/>
      </rPr>
      <t>Ø</t>
    </r>
  </si>
  <si>
    <t>DURBAN</t>
  </si>
  <si>
    <t>CIDADE DO CABO</t>
  </si>
  <si>
    <t>JOANESBURGO</t>
  </si>
  <si>
    <t>BLOEMFONTAINE</t>
  </si>
  <si>
    <t>PORTO ELISABETE</t>
  </si>
  <si>
    <t>NELSPRUIT</t>
  </si>
  <si>
    <t>POLOKWANE</t>
  </si>
  <si>
    <t>RUSTENBURG</t>
  </si>
  <si>
    <t>PRETORIA</t>
  </si>
  <si>
    <t>ESTADIOS - ÁFRICA DO SUL 2010</t>
  </si>
  <si>
    <t>ÁFRICA DO SUL</t>
  </si>
  <si>
    <t>19ª COPA DO MUNDO FIFA</t>
  </si>
  <si>
    <t>11 de Junho - 11 de Julho de 2010</t>
  </si>
  <si>
    <t>África do Sul</t>
  </si>
  <si>
    <t>Uruguai</t>
  </si>
  <si>
    <t>Joanesburgo</t>
  </si>
  <si>
    <t>Cidade do Cabo</t>
  </si>
  <si>
    <t>Pretoria</t>
  </si>
  <si>
    <t>Polokwane</t>
  </si>
  <si>
    <t>Rustemburgo</t>
  </si>
  <si>
    <t>Bloemfontaine</t>
  </si>
  <si>
    <t>ÁFRICA DO SUL 2010 - Primeira fase</t>
  </si>
  <si>
    <t>Nigéria</t>
  </si>
  <si>
    <t>Córeia do Sul</t>
  </si>
  <si>
    <t>Grécia</t>
  </si>
  <si>
    <t>Porto Elisabete</t>
  </si>
  <si>
    <t>Durban</t>
  </si>
  <si>
    <t>Estados Unidos</t>
  </si>
  <si>
    <t>Argélia</t>
  </si>
  <si>
    <t>Eslovênia</t>
  </si>
  <si>
    <t>Rustenburg</t>
  </si>
  <si>
    <t>Sérvia</t>
  </si>
  <si>
    <t>Nelspruit</t>
  </si>
  <si>
    <t>Dinamarca</t>
  </si>
  <si>
    <t>Camarões</t>
  </si>
  <si>
    <t>Bloemfontain</t>
  </si>
  <si>
    <t>Rustemburg</t>
  </si>
  <si>
    <t>Nova Zelândia</t>
  </si>
  <si>
    <t>Eslovaquia</t>
  </si>
  <si>
    <t>Bolemfontaine</t>
  </si>
  <si>
    <t>Córeia do Norte</t>
  </si>
  <si>
    <t>Honduras</t>
  </si>
  <si>
    <t>Chile</t>
  </si>
  <si>
    <t>Af.do Sul</t>
  </si>
  <si>
    <t>ÁFRICA DO SUL 2010 - Quartas de final</t>
  </si>
  <si>
    <t>ÁFRICA DO SUL 2010 - Semifinais</t>
  </si>
  <si>
    <t>ÁFRICA DO SUL 2010 - Final</t>
  </si>
  <si>
    <t>Coréia do S.</t>
  </si>
  <si>
    <t>EUA</t>
  </si>
  <si>
    <t>N.Zelândia</t>
  </si>
  <si>
    <t>BRASIL</t>
  </si>
  <si>
    <t>Coréia do N.</t>
  </si>
  <si>
    <t>ÁFRICA DO SUL 2010 - Oitavas de final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</si>
</sst>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_ &quot;$U&quot;\ * #,##0_ ;_ &quot;$U&quot;\ * \-#,##0_ ;_ &quot;$U&quot;\ * &quot;-&quot;_ ;_ @_ "/>
    <numFmt numFmtId="191" formatCode="_ &quot;$U&quot;\ * #,##0.00_ ;_ &quot;$U&quot;\ * \-#,##0.00_ ;_ &quot;$U&quot;\ * &quot;-&quot;??_ ;_ @_ "/>
    <numFmt numFmtId="192" formatCode="d\ &quot;de&quot;\ mmm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</numFmts>
  <fonts count="1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sz val="7"/>
      <color indexed="60"/>
      <name val="Arial"/>
      <family val="2"/>
    </font>
    <font>
      <sz val="10"/>
      <color indexed="1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8"/>
      <color indexed="10"/>
      <name val="Arial"/>
      <family val="2"/>
    </font>
    <font>
      <i/>
      <sz val="7"/>
      <color indexed="60"/>
      <name val="Arial"/>
      <family val="2"/>
    </font>
    <font>
      <i/>
      <sz val="10"/>
      <name val="Arial"/>
      <family val="2"/>
    </font>
    <font>
      <b/>
      <sz val="8"/>
      <color indexed="60"/>
      <name val="Arial Narrow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8"/>
      <color indexed="53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 Narrow"/>
      <family val="2"/>
    </font>
    <font>
      <b/>
      <sz val="8"/>
      <color indexed="60"/>
      <name val="Wingdings"/>
      <family val="0"/>
    </font>
    <font>
      <b/>
      <sz val="10"/>
      <color indexed="52"/>
      <name val="Arial Narrow"/>
      <family val="2"/>
    </font>
    <font>
      <i/>
      <sz val="16"/>
      <color indexed="47"/>
      <name val="Verdana"/>
      <family val="2"/>
    </font>
    <font>
      <sz val="6"/>
      <name val="Arial Narrow"/>
      <family val="2"/>
    </font>
    <font>
      <i/>
      <sz val="8"/>
      <color indexed="53"/>
      <name val="Arial Narrow"/>
      <family val="2"/>
    </font>
    <font>
      <sz val="10"/>
      <color indexed="60"/>
      <name val="Arial Narrow"/>
      <family val="2"/>
    </font>
    <font>
      <sz val="8"/>
      <name val="Arial Narrow"/>
      <family val="2"/>
    </font>
    <font>
      <b/>
      <sz val="9"/>
      <color indexed="60"/>
      <name val="Arial"/>
      <family val="2"/>
    </font>
    <font>
      <sz val="7"/>
      <color indexed="16"/>
      <name val="Arial Narrow"/>
      <family val="2"/>
    </font>
    <font>
      <sz val="8"/>
      <color indexed="47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sz val="11"/>
      <color indexed="60"/>
      <name val="Arial Narrow"/>
      <family val="2"/>
    </font>
    <font>
      <sz val="12"/>
      <color indexed="60"/>
      <name val="Arial"/>
      <family val="2"/>
    </font>
    <font>
      <b/>
      <sz val="12"/>
      <color indexed="16"/>
      <name val="Arial"/>
      <family val="2"/>
    </font>
    <font>
      <sz val="8"/>
      <color indexed="16"/>
      <name val="Arial Narrow"/>
      <family val="2"/>
    </font>
    <font>
      <b/>
      <sz val="12"/>
      <color indexed="60"/>
      <name val="Arial"/>
      <family val="2"/>
    </font>
    <font>
      <b/>
      <sz val="10"/>
      <name val="Arial"/>
      <family val="0"/>
    </font>
    <font>
      <b/>
      <i/>
      <sz val="12"/>
      <color indexed="52"/>
      <name val="Arial"/>
      <family val="2"/>
    </font>
    <font>
      <sz val="12"/>
      <color indexed="60"/>
      <name val="Arial Narrow"/>
      <family val="2"/>
    </font>
    <font>
      <sz val="9"/>
      <color indexed="16"/>
      <name val="Arial"/>
      <family val="2"/>
    </font>
    <font>
      <b/>
      <sz val="12"/>
      <color indexed="60"/>
      <name val="Arial Narrow"/>
      <family val="2"/>
    </font>
    <font>
      <b/>
      <i/>
      <sz val="14"/>
      <color indexed="53"/>
      <name val="Arial"/>
      <family val="2"/>
    </font>
    <font>
      <sz val="12"/>
      <color indexed="60"/>
      <name val="Wingdings"/>
      <family val="0"/>
    </font>
    <font>
      <sz val="10"/>
      <color indexed="60"/>
      <name val="Wingdings"/>
      <family val="0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36"/>
      <color indexed="47"/>
      <name val="Haettenschweiler"/>
      <family val="2"/>
    </font>
    <font>
      <sz val="28"/>
      <color indexed="22"/>
      <name val="Haettenschweiler"/>
      <family val="2"/>
    </font>
    <font>
      <b/>
      <sz val="20"/>
      <color indexed="52"/>
      <name val="Verdana"/>
      <family val="2"/>
    </font>
    <font>
      <sz val="20"/>
      <color indexed="47"/>
      <name val="Verdana"/>
      <family val="2"/>
    </font>
    <font>
      <b/>
      <sz val="22"/>
      <color indexed="47"/>
      <name val="Verdana"/>
      <family val="2"/>
    </font>
    <font>
      <b/>
      <sz val="24"/>
      <color indexed="47"/>
      <name val="Verdana"/>
      <family val="2"/>
    </font>
    <font>
      <sz val="20"/>
      <color indexed="47"/>
      <name val="Arial"/>
      <family val="2"/>
    </font>
    <font>
      <b/>
      <sz val="22"/>
      <color indexed="47"/>
      <name val="Arial"/>
      <family val="2"/>
    </font>
    <font>
      <b/>
      <sz val="24"/>
      <color indexed="47"/>
      <name val="Arial"/>
      <family val="2"/>
    </font>
    <font>
      <b/>
      <sz val="8"/>
      <color indexed="60"/>
      <name val="Arial"/>
      <family val="2"/>
    </font>
    <font>
      <sz val="10"/>
      <color indexed="40"/>
      <name val="Arial"/>
      <family val="2"/>
    </font>
    <font>
      <sz val="10"/>
      <color indexed="52"/>
      <name val="Arial"/>
      <family val="0"/>
    </font>
    <font>
      <sz val="9"/>
      <color indexed="52"/>
      <name val="Arial"/>
      <family val="2"/>
    </font>
    <font>
      <b/>
      <sz val="9"/>
      <color indexed="52"/>
      <name val="Arial"/>
      <family val="2"/>
    </font>
    <font>
      <sz val="8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 Narrow"/>
      <family val="2"/>
    </font>
    <font>
      <b/>
      <sz val="12"/>
      <color indexed="52"/>
      <name val="Arial Narrow"/>
      <family val="2"/>
    </font>
    <font>
      <b/>
      <sz val="16"/>
      <color indexed="47"/>
      <name val="Arial"/>
      <family val="2"/>
    </font>
    <font>
      <b/>
      <sz val="8"/>
      <name val="Arial"/>
      <family val="0"/>
    </font>
    <font>
      <sz val="20"/>
      <color indexed="47"/>
      <name val="Haettenschweiler"/>
      <family val="2"/>
    </font>
    <font>
      <b/>
      <sz val="10"/>
      <color indexed="52"/>
      <name val="Arial"/>
      <family val="2"/>
    </font>
    <font>
      <b/>
      <sz val="8"/>
      <color indexed="53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52"/>
        <bgColor indexed="47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53"/>
        <bgColor indexed="47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/>
      <right style="thin">
        <color indexed="53"/>
      </right>
      <top style="medium"/>
      <bottom>
        <color indexed="63"/>
      </bottom>
    </border>
    <border>
      <left style="thin">
        <color indexed="53"/>
      </left>
      <right style="medium"/>
      <top style="medium"/>
      <bottom>
        <color indexed="63"/>
      </bottom>
    </border>
    <border>
      <left style="medium"/>
      <right style="thin">
        <color indexed="53"/>
      </right>
      <top>
        <color indexed="63"/>
      </top>
      <bottom style="medium"/>
    </border>
    <border>
      <left style="thin">
        <color indexed="5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20" fontId="0" fillId="33" borderId="0" xfId="0" applyNumberFormat="1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right" vertical="center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20" fontId="27" fillId="33" borderId="13" xfId="0" applyNumberFormat="1" applyFont="1" applyFill="1" applyBorder="1" applyAlignment="1">
      <alignment horizontal="left" vertical="top"/>
    </xf>
    <xf numFmtId="22" fontId="4" fillId="33" borderId="0" xfId="0" applyNumberFormat="1" applyFont="1" applyFill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1" fillId="33" borderId="0" xfId="0" applyFont="1" applyFill="1" applyAlignment="1">
      <alignment horizontal="right"/>
    </xf>
    <xf numFmtId="192" fontId="28" fillId="33" borderId="15" xfId="0" applyNumberFormat="1" applyFont="1" applyFill="1" applyBorder="1" applyAlignment="1">
      <alignment horizontal="right"/>
    </xf>
    <xf numFmtId="20" fontId="21" fillId="33" borderId="15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29" fillId="33" borderId="11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26" fillId="34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 vertical="center"/>
    </xf>
    <xf numFmtId="0" fontId="32" fillId="33" borderId="16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4" fillId="33" borderId="0" xfId="0" applyFont="1" applyFill="1" applyAlignment="1">
      <alignment/>
    </xf>
    <xf numFmtId="0" fontId="35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0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41" fillId="33" borderId="16" xfId="0" applyFont="1" applyFill="1" applyBorder="1" applyAlignment="1" applyProtection="1">
      <alignment horizontal="center" vertical="center"/>
      <protection locked="0"/>
    </xf>
    <xf numFmtId="0" fontId="41" fillId="33" borderId="13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6" fillId="34" borderId="0" xfId="0" applyFont="1" applyFill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192" fontId="28" fillId="33" borderId="0" xfId="0" applyNumberFormat="1" applyFont="1" applyFill="1" applyBorder="1" applyAlignment="1" applyProtection="1">
      <alignment horizontal="right" vertical="top"/>
      <protection/>
    </xf>
    <xf numFmtId="20" fontId="21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Alignment="1" applyProtection="1">
      <alignment horizontal="right" vertical="center"/>
      <protection/>
    </xf>
    <xf numFmtId="0" fontId="44" fillId="33" borderId="19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0" fillId="35" borderId="20" xfId="0" applyFont="1" applyFill="1" applyBorder="1" applyAlignment="1" applyProtection="1">
      <alignment/>
      <protection/>
    </xf>
    <xf numFmtId="0" fontId="35" fillId="33" borderId="17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50" fillId="33" borderId="17" xfId="0" applyFont="1" applyFill="1" applyBorder="1" applyAlignment="1" applyProtection="1">
      <alignment horizontal="right" vertical="center"/>
      <protection/>
    </xf>
    <xf numFmtId="0" fontId="29" fillId="33" borderId="0" xfId="0" applyFont="1" applyFill="1" applyAlignment="1" applyProtection="1">
      <alignment horizontal="right" vertical="center"/>
      <protection/>
    </xf>
    <xf numFmtId="16" fontId="29" fillId="33" borderId="0" xfId="0" applyNumberFormat="1" applyFont="1" applyFill="1" applyAlignment="1" applyProtection="1">
      <alignment horizontal="right" vertical="center"/>
      <protection/>
    </xf>
    <xf numFmtId="20" fontId="29" fillId="33" borderId="0" xfId="0" applyNumberFormat="1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horizontal="right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35" fillId="33" borderId="18" xfId="0" applyFont="1" applyFill="1" applyBorder="1" applyAlignment="1" applyProtection="1">
      <alignment horizontal="right" vertical="center"/>
      <protection/>
    </xf>
    <xf numFmtId="0" fontId="48" fillId="33" borderId="19" xfId="0" applyFont="1" applyFill="1" applyBorder="1" applyAlignment="1" applyProtection="1">
      <alignment vertical="center"/>
      <protection/>
    </xf>
    <xf numFmtId="0" fontId="43" fillId="35" borderId="20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right" vertical="center"/>
      <protection/>
    </xf>
    <xf numFmtId="0" fontId="45" fillId="33" borderId="0" xfId="0" applyFont="1" applyFill="1" applyAlignment="1" applyProtection="1">
      <alignment horizontal="right" vertical="center"/>
      <protection/>
    </xf>
    <xf numFmtId="16" fontId="45" fillId="33" borderId="0" xfId="0" applyNumberFormat="1" applyFont="1" applyFill="1" applyAlignment="1" applyProtection="1">
      <alignment horizontal="right" vertical="center"/>
      <protection/>
    </xf>
    <xf numFmtId="20" fontId="45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43" fillId="35" borderId="20" xfId="0" applyFont="1" applyFill="1" applyBorder="1" applyAlignment="1" applyProtection="1">
      <alignment/>
      <protection/>
    </xf>
    <xf numFmtId="0" fontId="34" fillId="33" borderId="0" xfId="0" applyFont="1" applyFill="1" applyAlignment="1" applyProtection="1">
      <alignment vertical="top"/>
      <protection/>
    </xf>
    <xf numFmtId="0" fontId="38" fillId="33" borderId="0" xfId="0" applyFont="1" applyFill="1" applyAlignment="1" applyProtection="1">
      <alignment horizontal="center" vertical="center"/>
      <protection/>
    </xf>
    <xf numFmtId="16" fontId="38" fillId="33" borderId="0" xfId="0" applyNumberFormat="1" applyFont="1" applyFill="1" applyAlignment="1" applyProtection="1">
      <alignment horizontal="right" vertical="center"/>
      <protection/>
    </xf>
    <xf numFmtId="20" fontId="38" fillId="33" borderId="0" xfId="0" applyNumberFormat="1" applyFont="1" applyFill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192" fontId="28" fillId="33" borderId="0" xfId="0" applyNumberFormat="1" applyFont="1" applyFill="1" applyBorder="1" applyAlignment="1" applyProtection="1">
      <alignment horizontal="right"/>
      <protection/>
    </xf>
    <xf numFmtId="20" fontId="21" fillId="33" borderId="0" xfId="0" applyNumberFormat="1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 vertical="center"/>
      <protection/>
    </xf>
    <xf numFmtId="16" fontId="23" fillId="33" borderId="0" xfId="0" applyNumberFormat="1" applyFont="1" applyFill="1" applyAlignment="1" applyProtection="1">
      <alignment horizontal="right" vertical="center"/>
      <protection/>
    </xf>
    <xf numFmtId="20" fontId="23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7" fillId="33" borderId="0" xfId="0" applyFont="1" applyFill="1" applyAlignment="1" applyProtection="1">
      <alignment vertical="center"/>
      <protection/>
    </xf>
    <xf numFmtId="0" fontId="56" fillId="36" borderId="0" xfId="0" applyFont="1" applyFill="1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vertical="center"/>
      <protection/>
    </xf>
    <xf numFmtId="0" fontId="55" fillId="37" borderId="0" xfId="0" applyFont="1" applyFill="1" applyAlignment="1" applyProtection="1">
      <alignment horizontal="center" vertical="center"/>
      <protection/>
    </xf>
    <xf numFmtId="0" fontId="55" fillId="37" borderId="0" xfId="0" applyFont="1" applyFill="1" applyAlignment="1" applyProtection="1">
      <alignment vertical="center"/>
      <protection/>
    </xf>
    <xf numFmtId="0" fontId="53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53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54" fillId="37" borderId="0" xfId="0" applyFont="1" applyFill="1" applyAlignment="1" applyProtection="1">
      <alignment horizontal="center"/>
      <protection/>
    </xf>
    <xf numFmtId="0" fontId="34" fillId="37" borderId="0" xfId="0" applyFont="1" applyFill="1" applyAlignment="1" applyProtection="1">
      <alignment/>
      <protection/>
    </xf>
    <xf numFmtId="16" fontId="29" fillId="33" borderId="11" xfId="0" applyNumberFormat="1" applyFont="1" applyFill="1" applyBorder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66" fillId="35" borderId="20" xfId="0" applyFont="1" applyFill="1" applyBorder="1" applyAlignment="1" applyProtection="1">
      <alignment horizontal="center"/>
      <protection/>
    </xf>
    <xf numFmtId="0" fontId="66" fillId="35" borderId="2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/>
      <protection/>
    </xf>
    <xf numFmtId="0" fontId="55" fillId="38" borderId="22" xfId="44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right" vertical="center"/>
      <protection/>
    </xf>
    <xf numFmtId="0" fontId="70" fillId="33" borderId="12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 applyProtection="1">
      <alignment vertical="center"/>
      <protection/>
    </xf>
    <xf numFmtId="0" fontId="31" fillId="33" borderId="12" xfId="0" applyFont="1" applyFill="1" applyBorder="1" applyAlignment="1" applyProtection="1">
      <alignment vertical="center"/>
      <protection/>
    </xf>
    <xf numFmtId="0" fontId="72" fillId="33" borderId="12" xfId="0" applyFont="1" applyFill="1" applyBorder="1" applyAlignment="1" applyProtection="1">
      <alignment horizontal="right" vertical="center"/>
      <protection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vertical="center"/>
      <protection/>
    </xf>
    <xf numFmtId="0" fontId="72" fillId="33" borderId="0" xfId="0" applyFont="1" applyFill="1" applyAlignment="1" applyProtection="1">
      <alignment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36" fillId="33" borderId="12" xfId="0" applyFont="1" applyFill="1" applyBorder="1" applyAlignment="1" applyProtection="1">
      <alignment vertical="center"/>
      <protection/>
    </xf>
    <xf numFmtId="0" fontId="74" fillId="33" borderId="12" xfId="0" applyFont="1" applyFill="1" applyBorder="1" applyAlignment="1" applyProtection="1">
      <alignment horizontal="right" vertical="center"/>
      <protection/>
    </xf>
    <xf numFmtId="0" fontId="75" fillId="33" borderId="12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77" fillId="33" borderId="0" xfId="0" applyFont="1" applyFill="1" applyAlignment="1" applyProtection="1">
      <alignment vertical="center"/>
      <protection/>
    </xf>
    <xf numFmtId="0" fontId="75" fillId="33" borderId="12" xfId="0" applyFont="1" applyFill="1" applyBorder="1" applyAlignment="1" applyProtection="1">
      <alignment horizontal="right" vertical="center"/>
      <protection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20" fontId="0" fillId="33" borderId="18" xfId="0" applyNumberFormat="1" applyFill="1" applyBorder="1" applyAlignment="1">
      <alignment horizont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44" applyFont="1" applyFill="1" applyAlignment="1" applyProtection="1">
      <alignment vertic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0" fillId="39" borderId="0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vertical="center"/>
      <protection locked="0"/>
    </xf>
    <xf numFmtId="0" fontId="73" fillId="33" borderId="12" xfId="0" applyFont="1" applyFill="1" applyBorder="1" applyAlignment="1" applyProtection="1">
      <alignment horizontal="right" vertical="center"/>
      <protection/>
    </xf>
    <xf numFmtId="0" fontId="82" fillId="33" borderId="0" xfId="0" applyFont="1" applyFill="1" applyAlignment="1" applyProtection="1">
      <alignment vertical="center"/>
      <protection/>
    </xf>
    <xf numFmtId="0" fontId="6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3" fillId="33" borderId="11" xfId="0" applyFont="1" applyFill="1" applyBorder="1" applyAlignment="1">
      <alignment horizontal="right" vertical="center"/>
    </xf>
    <xf numFmtId="0" fontId="83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8" fillId="37" borderId="0" xfId="0" applyFont="1" applyFill="1" applyAlignment="1" applyProtection="1">
      <alignment horizontal="center"/>
      <protection/>
    </xf>
    <xf numFmtId="0" fontId="67" fillId="37" borderId="0" xfId="0" applyFont="1" applyFill="1" applyAlignment="1" applyProtection="1">
      <alignment horizontal="center"/>
      <protection/>
    </xf>
    <xf numFmtId="0" fontId="68" fillId="37" borderId="0" xfId="44" applyFont="1" applyFill="1" applyAlignment="1" applyProtection="1">
      <alignment horizontal="center"/>
      <protection/>
    </xf>
    <xf numFmtId="0" fontId="51" fillId="37" borderId="0" xfId="0" applyFont="1" applyFill="1" applyAlignment="1" applyProtection="1">
      <alignment horizontal="center"/>
      <protection/>
    </xf>
    <xf numFmtId="0" fontId="52" fillId="37" borderId="0" xfId="0" applyFont="1" applyFill="1" applyAlignment="1" applyProtection="1">
      <alignment horizontal="center"/>
      <protection/>
    </xf>
    <xf numFmtId="0" fontId="59" fillId="37" borderId="0" xfId="0" applyFont="1" applyFill="1" applyAlignment="1" applyProtection="1">
      <alignment horizontal="center"/>
      <protection/>
    </xf>
    <xf numFmtId="0" fontId="5" fillId="37" borderId="0" xfId="44" applyFont="1" applyFill="1" applyAlignment="1" applyProtection="1">
      <alignment horizontal="center"/>
      <protection/>
    </xf>
    <xf numFmtId="0" fontId="56" fillId="36" borderId="0" xfId="0" applyFont="1" applyFill="1" applyAlignment="1">
      <alignment horizontal="center"/>
    </xf>
    <xf numFmtId="0" fontId="58" fillId="36" borderId="0" xfId="0" applyFont="1" applyFill="1" applyAlignment="1">
      <alignment horizontal="center"/>
    </xf>
    <xf numFmtId="0" fontId="55" fillId="36" borderId="0" xfId="44" applyFont="1" applyFill="1" applyAlignment="1" applyProtection="1">
      <alignment horizontal="center"/>
      <protection/>
    </xf>
    <xf numFmtId="0" fontId="60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0" fontId="17" fillId="33" borderId="11" xfId="0" applyNumberFormat="1" applyFont="1" applyFill="1" applyBorder="1" applyAlignment="1">
      <alignment horizontal="center" vertical="center"/>
    </xf>
    <xf numFmtId="20" fontId="29" fillId="33" borderId="11" xfId="0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22" fillId="35" borderId="20" xfId="0" applyFont="1" applyFill="1" applyBorder="1" applyAlignment="1">
      <alignment horizontal="center"/>
    </xf>
    <xf numFmtId="16" fontId="29" fillId="33" borderId="11" xfId="0" applyNumberFormat="1" applyFont="1" applyFill="1" applyBorder="1" applyAlignment="1">
      <alignment horizontal="center" vertical="center"/>
    </xf>
    <xf numFmtId="0" fontId="12" fillId="33" borderId="0" xfId="44" applyFont="1" applyFill="1" applyAlignment="1" applyProtection="1">
      <alignment horizont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/>
    </xf>
    <xf numFmtId="0" fontId="66" fillId="35" borderId="20" xfId="0" applyFont="1" applyFill="1" applyBorder="1" applyAlignment="1" applyProtection="1">
      <alignment horizontal="center"/>
      <protection/>
    </xf>
    <xf numFmtId="0" fontId="17" fillId="35" borderId="20" xfId="0" applyFont="1" applyFill="1" applyBorder="1" applyAlignment="1" applyProtection="1">
      <alignment horizontal="left"/>
      <protection/>
    </xf>
    <xf numFmtId="0" fontId="80" fillId="34" borderId="0" xfId="0" applyFont="1" applyFill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66" fillId="35" borderId="20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left" vertical="center"/>
      <protection/>
    </xf>
    <xf numFmtId="0" fontId="78" fillId="34" borderId="29" xfId="0" applyFont="1" applyFill="1" applyBorder="1" applyAlignment="1" applyProtection="1">
      <alignment horizontal="center" vertical="center"/>
      <protection/>
    </xf>
    <xf numFmtId="0" fontId="78" fillId="34" borderId="30" xfId="0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horizontal="center" vertical="center"/>
    </xf>
    <xf numFmtId="0" fontId="79" fillId="0" borderId="31" xfId="0" applyFont="1" applyBorder="1" applyAlignment="1" applyProtection="1">
      <alignment horizontal="center" vertical="center"/>
      <protection locked="0"/>
    </xf>
    <xf numFmtId="0" fontId="79" fillId="0" borderId="32" xfId="0" applyFont="1" applyBorder="1" applyAlignment="1" applyProtection="1">
      <alignment horizontal="center" vertical="center"/>
      <protection locked="0"/>
    </xf>
    <xf numFmtId="0" fontId="79" fillId="0" borderId="33" xfId="0" applyFont="1" applyBorder="1" applyAlignment="1" applyProtection="1">
      <alignment horizontal="center" vertical="center"/>
      <protection locked="0"/>
    </xf>
    <xf numFmtId="0" fontId="79" fillId="0" borderId="34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 vertical="center"/>
    </xf>
    <xf numFmtId="0" fontId="43" fillId="0" borderId="0" xfId="44" applyFont="1" applyAlignment="1" applyProtection="1">
      <alignment horizontal="center" vertical="center"/>
      <protection/>
    </xf>
    <xf numFmtId="0" fontId="55" fillId="40" borderId="35" xfId="0" applyFont="1" applyFill="1" applyBorder="1" applyAlignment="1">
      <alignment horizontal="center" vertical="center"/>
    </xf>
    <xf numFmtId="0" fontId="55" fillId="40" borderId="36" xfId="0" applyFont="1" applyFill="1" applyBorder="1" applyAlignment="1">
      <alignment horizontal="center" vertical="center"/>
    </xf>
    <xf numFmtId="0" fontId="55" fillId="40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79" fillId="0" borderId="38" xfId="0" applyFont="1" applyBorder="1" applyAlignment="1" applyProtection="1">
      <alignment horizontal="center" vertical="center"/>
      <protection locked="0"/>
    </xf>
    <xf numFmtId="0" fontId="79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79" fillId="0" borderId="40" xfId="0" applyFont="1" applyBorder="1" applyAlignment="1" applyProtection="1">
      <alignment horizontal="center" vertical="center"/>
      <protection locked="0"/>
    </xf>
    <xf numFmtId="0" fontId="79" fillId="0" borderId="4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55" fillId="40" borderId="42" xfId="0" applyFont="1" applyFill="1" applyBorder="1" applyAlignment="1">
      <alignment horizontal="center" vertical="center"/>
    </xf>
    <xf numFmtId="0" fontId="55" fillId="40" borderId="43" xfId="0" applyFont="1" applyFill="1" applyBorder="1" applyAlignment="1">
      <alignment horizontal="center" vertical="center"/>
    </xf>
    <xf numFmtId="0" fontId="55" fillId="40" borderId="44" xfId="0" applyFont="1" applyFill="1" applyBorder="1" applyAlignment="1">
      <alignment horizontal="center" vertical="center"/>
    </xf>
    <xf numFmtId="0" fontId="55" fillId="40" borderId="45" xfId="0" applyFont="1" applyFill="1" applyBorder="1" applyAlignment="1">
      <alignment horizontal="center" vertical="center"/>
    </xf>
    <xf numFmtId="0" fontId="55" fillId="40" borderId="46" xfId="0" applyFont="1" applyFill="1" applyBorder="1" applyAlignment="1">
      <alignment horizontal="center" vertical="center"/>
    </xf>
    <xf numFmtId="0" fontId="55" fillId="40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99"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hyperlink" Target="http://www.fifa.com/worldcup/index.html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2.png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hyperlink" Target="http://www.fifa.com/worldcup/index.html" TargetMode="External" /><Relationship Id="rId5" Type="http://schemas.openxmlformats.org/officeDocument/2006/relationships/image" Target="../media/image42.png" /><Relationship Id="rId6" Type="http://schemas.openxmlformats.org/officeDocument/2006/relationships/hyperlink" Target="http://www.fifa.com/worldcup/teams/team=43971/index.html" TargetMode="External" /><Relationship Id="rId7" Type="http://schemas.openxmlformats.org/officeDocument/2006/relationships/hyperlink" Target="http://www.fifa.com/worldcup/teams/team=43971/index.html" TargetMode="External" /><Relationship Id="rId8" Type="http://schemas.openxmlformats.org/officeDocument/2006/relationships/image" Target="../media/image43.png" /><Relationship Id="rId9" Type="http://schemas.openxmlformats.org/officeDocument/2006/relationships/hyperlink" Target="http://www.fifa.com/worldcup/teams/team=43909/index.html" TargetMode="External" /><Relationship Id="rId10" Type="http://schemas.openxmlformats.org/officeDocument/2006/relationships/hyperlink" Target="http://www.fifa.com/worldcup/teams/team=43909/index.html" TargetMode="External" /><Relationship Id="rId11" Type="http://schemas.openxmlformats.org/officeDocument/2006/relationships/image" Target="../media/image44.png" /><Relationship Id="rId12" Type="http://schemas.openxmlformats.org/officeDocument/2006/relationships/hyperlink" Target="http://www.fifa.com/worldcup/teams/team=43925/index.html" TargetMode="External" /><Relationship Id="rId13" Type="http://schemas.openxmlformats.org/officeDocument/2006/relationships/hyperlink" Target="http://www.fifa.com/worldcup/teams/team=43925/index.html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hyperlink" Target="http://www.fifa.com/worldcup/photo/photolist.html#1141345" TargetMode="External" /><Relationship Id="rId4" Type="http://schemas.openxmlformats.org/officeDocument/2006/relationships/hyperlink" Target="http://www.fifa.com/worldcup/photo/photolist.html#1141345" TargetMode="External" /><Relationship Id="rId5" Type="http://schemas.openxmlformats.org/officeDocument/2006/relationships/image" Target="../media/image5.jpeg" /><Relationship Id="rId6" Type="http://schemas.openxmlformats.org/officeDocument/2006/relationships/hyperlink" Target="http://www.fifa.com/worldcup/photo/photolist.html#522617" TargetMode="External" /><Relationship Id="rId7" Type="http://schemas.openxmlformats.org/officeDocument/2006/relationships/hyperlink" Target="http://www.fifa.com/worldcup/photo/photolist.html#522617" TargetMode="External" /><Relationship Id="rId8" Type="http://schemas.openxmlformats.org/officeDocument/2006/relationships/image" Target="../media/image6.jpeg" /><Relationship Id="rId9" Type="http://schemas.openxmlformats.org/officeDocument/2006/relationships/hyperlink" Target="http://www.fifa.com/worldcup/photo/photolist.html#1141838" TargetMode="External" /><Relationship Id="rId10" Type="http://schemas.openxmlformats.org/officeDocument/2006/relationships/hyperlink" Target="http://www.fifa.com/worldcup/photo/photolist.html#1141838" TargetMode="External" /><Relationship Id="rId11" Type="http://schemas.openxmlformats.org/officeDocument/2006/relationships/image" Target="../media/image7.jpeg" /><Relationship Id="rId12" Type="http://schemas.openxmlformats.org/officeDocument/2006/relationships/hyperlink" Target="http://www.fifa.com/confederationscup/photo/photolist.html#999843" TargetMode="External" /><Relationship Id="rId13" Type="http://schemas.openxmlformats.org/officeDocument/2006/relationships/hyperlink" Target="http://www.fifa.com/confederationscup/photo/photolist.html#999843" TargetMode="External" /><Relationship Id="rId14" Type="http://schemas.openxmlformats.org/officeDocument/2006/relationships/image" Target="../media/image8.jpeg" /><Relationship Id="rId15" Type="http://schemas.openxmlformats.org/officeDocument/2006/relationships/hyperlink" Target="http://www.fifa.com/worldcup/photo/photolist.html#1111037" TargetMode="External" /><Relationship Id="rId16" Type="http://schemas.openxmlformats.org/officeDocument/2006/relationships/hyperlink" Target="http://www.fifa.com/worldcup/photo/photolist.html#1111037" TargetMode="External" /><Relationship Id="rId17" Type="http://schemas.openxmlformats.org/officeDocument/2006/relationships/image" Target="../media/image9.jpeg" /><Relationship Id="rId18" Type="http://schemas.openxmlformats.org/officeDocument/2006/relationships/hyperlink" Target="http://www.fifa.com/worldcup/photo/photolist.html#1127750" TargetMode="External" /><Relationship Id="rId19" Type="http://schemas.openxmlformats.org/officeDocument/2006/relationships/hyperlink" Target="http://www.fifa.com/worldcup/photo/photolist.html#1127750" TargetMode="External" /><Relationship Id="rId20" Type="http://schemas.openxmlformats.org/officeDocument/2006/relationships/image" Target="../media/image10.jpeg" /><Relationship Id="rId21" Type="http://schemas.openxmlformats.org/officeDocument/2006/relationships/hyperlink" Target="http://www.fifa.com/worldcup/photo/photolist.html#1127739" TargetMode="External" /><Relationship Id="rId22" Type="http://schemas.openxmlformats.org/officeDocument/2006/relationships/hyperlink" Target="http://www.fifa.com/worldcup/photo/photolist.html#1127739" TargetMode="External" /><Relationship Id="rId23" Type="http://schemas.openxmlformats.org/officeDocument/2006/relationships/image" Target="../media/image11.jpeg" /><Relationship Id="rId24" Type="http://schemas.openxmlformats.org/officeDocument/2006/relationships/hyperlink" Target="http://www.fifa.com/worldcup/photo/photolist.html#1090598" TargetMode="External" /><Relationship Id="rId25" Type="http://schemas.openxmlformats.org/officeDocument/2006/relationships/hyperlink" Target="http://www.fifa.com/worldcup/photo/photolist.html#1090598" TargetMode="External" /><Relationship Id="rId26" Type="http://schemas.openxmlformats.org/officeDocument/2006/relationships/image" Target="../media/image12.jpeg" /><Relationship Id="rId27" Type="http://schemas.openxmlformats.org/officeDocument/2006/relationships/hyperlink" Target="http://www.fifa.com/confederationscup/photo/photolist.html#1065881" TargetMode="External" /><Relationship Id="rId28" Type="http://schemas.openxmlformats.org/officeDocument/2006/relationships/hyperlink" Target="http://www.fifa.com/confederationscup/photo/photolist.html#106588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hyperlink" Target="http://www.fifa.com/worldcup/teams/team=43911/index.html" TargetMode="External" /><Relationship Id="rId4" Type="http://schemas.openxmlformats.org/officeDocument/2006/relationships/hyperlink" Target="http://www.fifa.com/worldcup/teams/team=43911/index.html" TargetMode="External" /><Relationship Id="rId5" Type="http://schemas.openxmlformats.org/officeDocument/2006/relationships/image" Target="../media/image15.png" /><Relationship Id="rId6" Type="http://schemas.openxmlformats.org/officeDocument/2006/relationships/hyperlink" Target="http://www.fifa.com/worldcup/teams/team=43930/index.html" TargetMode="External" /><Relationship Id="rId7" Type="http://schemas.openxmlformats.org/officeDocument/2006/relationships/hyperlink" Target="http://www.fifa.com/worldcup/teams/team=43930/index.html" TargetMode="External" /><Relationship Id="rId8" Type="http://schemas.openxmlformats.org/officeDocument/2006/relationships/image" Target="../media/image16.png" /><Relationship Id="rId9" Type="http://schemas.openxmlformats.org/officeDocument/2006/relationships/image" Target="../media/image2.png" /><Relationship Id="rId10" Type="http://schemas.openxmlformats.org/officeDocument/2006/relationships/hyperlink" Target="http://www.fifa.com/worldcup/index.html" TargetMode="External" /><Relationship Id="rId11" Type="http://schemas.openxmlformats.org/officeDocument/2006/relationships/hyperlink" Target="http://www.fifa.com/worldcup/index.htm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image" Target="../media/image17.png" /><Relationship Id="rId5" Type="http://schemas.openxmlformats.org/officeDocument/2006/relationships/hyperlink" Target="http://www.fifa.com/worldcup/teams/team=43922/index.html" TargetMode="External" /><Relationship Id="rId6" Type="http://schemas.openxmlformats.org/officeDocument/2006/relationships/hyperlink" Target="http://www.fifa.com/worldcup/teams/team=43922/index.html" TargetMode="External" /><Relationship Id="rId7" Type="http://schemas.openxmlformats.org/officeDocument/2006/relationships/image" Target="../media/image18.png" /><Relationship Id="rId8" Type="http://schemas.openxmlformats.org/officeDocument/2006/relationships/hyperlink" Target="http://www.fifa.com/worldcup/teams/team=43876/index.html" TargetMode="External" /><Relationship Id="rId9" Type="http://schemas.openxmlformats.org/officeDocument/2006/relationships/hyperlink" Target="http://www.fifa.com/worldcup/teams/team=43876/index.html" TargetMode="External" /><Relationship Id="rId10" Type="http://schemas.openxmlformats.org/officeDocument/2006/relationships/image" Target="../media/image19.png" /><Relationship Id="rId11" Type="http://schemas.openxmlformats.org/officeDocument/2006/relationships/hyperlink" Target="http://www.fifa.com/worldcup/teams/team=43822/index.html" TargetMode="External" /><Relationship Id="rId12" Type="http://schemas.openxmlformats.org/officeDocument/2006/relationships/hyperlink" Target="http://www.fifa.com/worldcup/teams/team=43822/index.html" TargetMode="External" /><Relationship Id="rId13" Type="http://schemas.openxmlformats.org/officeDocument/2006/relationships/image" Target="../media/image20.png" /><Relationship Id="rId14" Type="http://schemas.openxmlformats.org/officeDocument/2006/relationships/hyperlink" Target="http://www.fifa.com/worldcup/teams/team=43949/index.html" TargetMode="External" /><Relationship Id="rId15" Type="http://schemas.openxmlformats.org/officeDocument/2006/relationships/hyperlink" Target="http://www.fifa.com/worldcup/teams/team=43949/index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image" Target="../media/image21.png" /><Relationship Id="rId5" Type="http://schemas.openxmlformats.org/officeDocument/2006/relationships/hyperlink" Target="http://www.fifa.com/worldcup/teams/team=43942/index.html" TargetMode="External" /><Relationship Id="rId6" Type="http://schemas.openxmlformats.org/officeDocument/2006/relationships/hyperlink" Target="http://www.fifa.com/worldcup/teams/team=43942/index.html" TargetMode="External" /><Relationship Id="rId7" Type="http://schemas.openxmlformats.org/officeDocument/2006/relationships/image" Target="../media/image22.png" /><Relationship Id="rId8" Type="http://schemas.openxmlformats.org/officeDocument/2006/relationships/hyperlink" Target="http://www.fifa.com/worldcup/teams/team=43921/index.html" TargetMode="External" /><Relationship Id="rId9" Type="http://schemas.openxmlformats.org/officeDocument/2006/relationships/hyperlink" Target="http://www.fifa.com/worldcup/teams/team=43921/index.html" TargetMode="External" /><Relationship Id="rId10" Type="http://schemas.openxmlformats.org/officeDocument/2006/relationships/image" Target="../media/image23.png" /><Relationship Id="rId11" Type="http://schemas.openxmlformats.org/officeDocument/2006/relationships/hyperlink" Target="http://www.fifa.com/worldcup/teams/team=43843/index.html" TargetMode="External" /><Relationship Id="rId12" Type="http://schemas.openxmlformats.org/officeDocument/2006/relationships/hyperlink" Target="http://www.fifa.com/worldcup/teams/team=43843/index.html" TargetMode="External" /><Relationship Id="rId13" Type="http://schemas.openxmlformats.org/officeDocument/2006/relationships/image" Target="../media/image24.png" /><Relationship Id="rId14" Type="http://schemas.openxmlformats.org/officeDocument/2006/relationships/hyperlink" Target="http://www.fifa.com/worldcup/teams/team=43968/index.html" TargetMode="External" /><Relationship Id="rId15" Type="http://schemas.openxmlformats.org/officeDocument/2006/relationships/hyperlink" Target="http://www.fifa.com/worldcup/teams/team=43968/index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image" Target="../media/image25.png" /><Relationship Id="rId5" Type="http://schemas.openxmlformats.org/officeDocument/2006/relationships/hyperlink" Target="http://www.fifa.com/worldcup/teams/team=43948/index.html" TargetMode="External" /><Relationship Id="rId6" Type="http://schemas.openxmlformats.org/officeDocument/2006/relationships/hyperlink" Target="http://www.fifa.com/worldcup/teams/team=43948/index.html" TargetMode="External" /><Relationship Id="rId7" Type="http://schemas.openxmlformats.org/officeDocument/2006/relationships/image" Target="../media/image26.png" /><Relationship Id="rId8" Type="http://schemas.openxmlformats.org/officeDocument/2006/relationships/hyperlink" Target="http://www.fifa.com/worldcup/teams/team=43976/index.html" TargetMode="External" /><Relationship Id="rId9" Type="http://schemas.openxmlformats.org/officeDocument/2006/relationships/hyperlink" Target="http://www.fifa.com/worldcup/teams/team=43976/index.html" TargetMode="External" /><Relationship Id="rId10" Type="http://schemas.openxmlformats.org/officeDocument/2006/relationships/image" Target="../media/image27.png" /><Relationship Id="rId11" Type="http://schemas.openxmlformats.org/officeDocument/2006/relationships/hyperlink" Target="http://www.fifa.com/worldcup/teams/team=1902465/index.html" TargetMode="External" /><Relationship Id="rId12" Type="http://schemas.openxmlformats.org/officeDocument/2006/relationships/hyperlink" Target="http://www.fifa.com/worldcup/teams/team=1902465/index.html" TargetMode="External" /><Relationship Id="rId13" Type="http://schemas.openxmlformats.org/officeDocument/2006/relationships/image" Target="../media/image28.png" /><Relationship Id="rId14" Type="http://schemas.openxmlformats.org/officeDocument/2006/relationships/hyperlink" Target="http://www.fifa.com/worldcup/teams/team=43860/index.html" TargetMode="External" /><Relationship Id="rId15" Type="http://schemas.openxmlformats.org/officeDocument/2006/relationships/hyperlink" Target="http://www.fifa.com/worldcup/teams/team=43860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image" Target="../media/image29.png" /><Relationship Id="rId5" Type="http://schemas.openxmlformats.org/officeDocument/2006/relationships/hyperlink" Target="http://www.fifa.com/worldcup/teams/team=43960/index.html" TargetMode="External" /><Relationship Id="rId6" Type="http://schemas.openxmlformats.org/officeDocument/2006/relationships/hyperlink" Target="http://www.fifa.com/worldcup/teams/team=43960/index.html" TargetMode="External" /><Relationship Id="rId7" Type="http://schemas.openxmlformats.org/officeDocument/2006/relationships/image" Target="../media/image30.png" /><Relationship Id="rId8" Type="http://schemas.openxmlformats.org/officeDocument/2006/relationships/hyperlink" Target="http://www.fifa.com/worldcup/teams/team=43941/index.html" TargetMode="External" /><Relationship Id="rId9" Type="http://schemas.openxmlformats.org/officeDocument/2006/relationships/hyperlink" Target="http://www.fifa.com/worldcup/teams/team=43941/index.html" TargetMode="External" /><Relationship Id="rId10" Type="http://schemas.openxmlformats.org/officeDocument/2006/relationships/image" Target="../media/image31.png" /><Relationship Id="rId11" Type="http://schemas.openxmlformats.org/officeDocument/2006/relationships/hyperlink" Target="http://www.fifa.com/worldcup/teams/team=43819/index.html" TargetMode="External" /><Relationship Id="rId12" Type="http://schemas.openxmlformats.org/officeDocument/2006/relationships/hyperlink" Target="http://www.fifa.com/worldcup/teams/team=43819/index.html" TargetMode="External" /><Relationship Id="rId13" Type="http://schemas.openxmlformats.org/officeDocument/2006/relationships/image" Target="../media/image32.png" /><Relationship Id="rId14" Type="http://schemas.openxmlformats.org/officeDocument/2006/relationships/hyperlink" Target="http://www.fifa.com/worldcup/teams/team=43849/index.html" TargetMode="External" /><Relationship Id="rId15" Type="http://schemas.openxmlformats.org/officeDocument/2006/relationships/hyperlink" Target="http://www.fifa.com/worldcup/teams/team=43849/index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image" Target="../media/image33.png" /><Relationship Id="rId5" Type="http://schemas.openxmlformats.org/officeDocument/2006/relationships/hyperlink" Target="http://www.fifa.com/worldcup/teams/team=43954/index.html" TargetMode="External" /><Relationship Id="rId6" Type="http://schemas.openxmlformats.org/officeDocument/2006/relationships/hyperlink" Target="http://www.fifa.com/worldcup/teams/team=43954/index.html" TargetMode="External" /><Relationship Id="rId7" Type="http://schemas.openxmlformats.org/officeDocument/2006/relationships/image" Target="../media/image34.png" /><Relationship Id="rId8" Type="http://schemas.openxmlformats.org/officeDocument/2006/relationships/hyperlink" Target="http://www.fifa.com/worldcup/teams/team=43928/index.html" TargetMode="External" /><Relationship Id="rId9" Type="http://schemas.openxmlformats.org/officeDocument/2006/relationships/hyperlink" Target="http://www.fifa.com/worldcup/teams/team=43928/index.html" TargetMode="External" /><Relationship Id="rId10" Type="http://schemas.openxmlformats.org/officeDocument/2006/relationships/image" Target="../media/image35.png" /><Relationship Id="rId11" Type="http://schemas.openxmlformats.org/officeDocument/2006/relationships/hyperlink" Target="http://www.fifa.com/worldcup/teams/team=43978/index.html" TargetMode="External" /><Relationship Id="rId12" Type="http://schemas.openxmlformats.org/officeDocument/2006/relationships/hyperlink" Target="http://www.fifa.com/worldcup/teams/team=43978/index.html" TargetMode="External" /><Relationship Id="rId13" Type="http://schemas.openxmlformats.org/officeDocument/2006/relationships/image" Target="../media/image36.png" /><Relationship Id="rId14" Type="http://schemas.openxmlformats.org/officeDocument/2006/relationships/hyperlink" Target="http://www.fifa.com/worldcup/teams/team=44002/index.html" TargetMode="External" /><Relationship Id="rId15" Type="http://schemas.openxmlformats.org/officeDocument/2006/relationships/hyperlink" Target="http://www.fifa.com/worldcup/teams/team=44002/index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fifa.com/worldcup/index.html" TargetMode="External" /><Relationship Id="rId3" Type="http://schemas.openxmlformats.org/officeDocument/2006/relationships/hyperlink" Target="http://www.fifa.com/worldcup/index.html" TargetMode="External" /><Relationship Id="rId4" Type="http://schemas.openxmlformats.org/officeDocument/2006/relationships/image" Target="../media/image37.png" /><Relationship Id="rId5" Type="http://schemas.openxmlformats.org/officeDocument/2006/relationships/hyperlink" Target="http://www.fifa.com/worldcup/teams/team=43924/index.html" TargetMode="External" /><Relationship Id="rId6" Type="http://schemas.openxmlformats.org/officeDocument/2006/relationships/hyperlink" Target="http://www.fifa.com/worldcup/teams/team=43924/index.html" TargetMode="External" /><Relationship Id="rId7" Type="http://schemas.openxmlformats.org/officeDocument/2006/relationships/image" Target="../media/image38.png" /><Relationship Id="rId8" Type="http://schemas.openxmlformats.org/officeDocument/2006/relationships/hyperlink" Target="http://www.fifa.com/worldcup/teams/team=43821/index.html" TargetMode="External" /><Relationship Id="rId9" Type="http://schemas.openxmlformats.org/officeDocument/2006/relationships/hyperlink" Target="http://www.fifa.com/worldcup/teams/team=43821/index.html" TargetMode="External" /><Relationship Id="rId10" Type="http://schemas.openxmlformats.org/officeDocument/2006/relationships/image" Target="../media/image39.png" /><Relationship Id="rId11" Type="http://schemas.openxmlformats.org/officeDocument/2006/relationships/hyperlink" Target="http://www.fifa.com/worldcup/teams/team=43854/index.html" TargetMode="External" /><Relationship Id="rId12" Type="http://schemas.openxmlformats.org/officeDocument/2006/relationships/hyperlink" Target="http://www.fifa.com/worldcup/teams/team=43854/index.html" TargetMode="External" /><Relationship Id="rId13" Type="http://schemas.openxmlformats.org/officeDocument/2006/relationships/image" Target="../media/image40.png" /><Relationship Id="rId14" Type="http://schemas.openxmlformats.org/officeDocument/2006/relationships/hyperlink" Target="http://www.fifa.com/worldcup/teams/team=43963/index.html" TargetMode="External" /><Relationship Id="rId15" Type="http://schemas.openxmlformats.org/officeDocument/2006/relationships/hyperlink" Target="http://www.fifa.com/worldcup/teams/team=43963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5</xdr:row>
      <xdr:rowOff>76200</xdr:rowOff>
    </xdr:from>
    <xdr:to>
      <xdr:col>5</xdr:col>
      <xdr:colOff>581025</xdr:colOff>
      <xdr:row>13</xdr:row>
      <xdr:rowOff>104775</xdr:rowOff>
    </xdr:to>
    <xdr:pic>
      <xdr:nvPicPr>
        <xdr:cNvPr id="1" name="Picture 6" descr="cup_fifawor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304925"/>
          <a:ext cx="685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19050</xdr:rowOff>
    </xdr:from>
    <xdr:to>
      <xdr:col>3</xdr:col>
      <xdr:colOff>676275</xdr:colOff>
      <xdr:row>15</xdr:row>
      <xdr:rowOff>85725</xdr:rowOff>
    </xdr:to>
    <xdr:pic>
      <xdr:nvPicPr>
        <xdr:cNvPr id="2" name="Picture 11" descr="http://www.fifa.com/imgml/worldcup/head/wc2010logo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47775"/>
          <a:ext cx="1990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6</xdr:row>
      <xdr:rowOff>19050</xdr:rowOff>
    </xdr:from>
    <xdr:to>
      <xdr:col>16</xdr:col>
      <xdr:colOff>76200</xdr:colOff>
      <xdr:row>6</xdr:row>
      <xdr:rowOff>171450</xdr:rowOff>
    </xdr:to>
    <xdr:pic>
      <xdr:nvPicPr>
        <xdr:cNvPr id="1" name="Picture 4" descr="Españ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34075" y="16668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0</xdr:rowOff>
    </xdr:from>
    <xdr:to>
      <xdr:col>18</xdr:col>
      <xdr:colOff>333375</xdr:colOff>
      <xdr:row>1</xdr:row>
      <xdr:rowOff>409575</xdr:rowOff>
    </xdr:to>
    <xdr:pic>
      <xdr:nvPicPr>
        <xdr:cNvPr id="2" name="Picture 55" descr="http://www.fifa.com/imgml/worldcup/head/wc2010logo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8</xdr:row>
      <xdr:rowOff>28575</xdr:rowOff>
    </xdr:from>
    <xdr:to>
      <xdr:col>16</xdr:col>
      <xdr:colOff>38100</xdr:colOff>
      <xdr:row>8</xdr:row>
      <xdr:rowOff>152400</xdr:rowOff>
    </xdr:to>
    <xdr:pic>
      <xdr:nvPicPr>
        <xdr:cNvPr id="3" name="Picture 39" descr="Switzerland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203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10</xdr:row>
      <xdr:rowOff>28575</xdr:rowOff>
    </xdr:from>
    <xdr:to>
      <xdr:col>16</xdr:col>
      <xdr:colOff>38100</xdr:colOff>
      <xdr:row>10</xdr:row>
      <xdr:rowOff>152400</xdr:rowOff>
    </xdr:to>
    <xdr:pic>
      <xdr:nvPicPr>
        <xdr:cNvPr id="4" name="Picture 40" descr="Honduras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240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12</xdr:row>
      <xdr:rowOff>28575</xdr:rowOff>
    </xdr:from>
    <xdr:to>
      <xdr:col>16</xdr:col>
      <xdr:colOff>57150</xdr:colOff>
      <xdr:row>12</xdr:row>
      <xdr:rowOff>152400</xdr:rowOff>
    </xdr:to>
    <xdr:pic>
      <xdr:nvPicPr>
        <xdr:cNvPr id="5" name="Picture 41" descr="Chile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43600" y="275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752475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552825" y="8286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752475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552825" y="14763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752475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552825" y="21240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752475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552825" y="27717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752475</xdr:colOff>
      <xdr:row>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3552825" y="34194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752475</xdr:colOff>
      <xdr:row>29</xdr:row>
      <xdr:rowOff>85725</xdr:rowOff>
    </xdr:to>
    <xdr:sp>
      <xdr:nvSpPr>
        <xdr:cNvPr id="6" name="Line 7"/>
        <xdr:cNvSpPr>
          <a:spLocks/>
        </xdr:cNvSpPr>
      </xdr:nvSpPr>
      <xdr:spPr>
        <a:xfrm>
          <a:off x="3552825" y="40671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752475</xdr:colOff>
      <xdr:row>33</xdr:row>
      <xdr:rowOff>85725</xdr:rowOff>
    </xdr:to>
    <xdr:sp>
      <xdr:nvSpPr>
        <xdr:cNvPr id="7" name="Line 8"/>
        <xdr:cNvSpPr>
          <a:spLocks/>
        </xdr:cNvSpPr>
      </xdr:nvSpPr>
      <xdr:spPr>
        <a:xfrm>
          <a:off x="3552825" y="47148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752475</xdr:colOff>
      <xdr:row>37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552825" y="53625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723900</xdr:colOff>
      <xdr:row>5</xdr:row>
      <xdr:rowOff>19050</xdr:rowOff>
    </xdr:from>
    <xdr:to>
      <xdr:col>18</xdr:col>
      <xdr:colOff>276225</xdr:colOff>
      <xdr:row>12</xdr:row>
      <xdr:rowOff>0</xdr:rowOff>
    </xdr:to>
    <xdr:pic>
      <xdr:nvPicPr>
        <xdr:cNvPr id="9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19100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752475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86200" y="180022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752475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86200" y="2533650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752475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86200" y="32670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752475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86200" y="4000500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752475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3886200" y="446722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0</xdr:row>
      <xdr:rowOff>9525</xdr:rowOff>
    </xdr:from>
    <xdr:to>
      <xdr:col>14</xdr:col>
      <xdr:colOff>9525</xdr:colOff>
      <xdr:row>1</xdr:row>
      <xdr:rowOff>428625</xdr:rowOff>
    </xdr:to>
    <xdr:pic>
      <xdr:nvPicPr>
        <xdr:cNvPr id="6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95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752475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943350" y="214312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752475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943350" y="3114675"/>
          <a:ext cx="7524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0</xdr:row>
      <xdr:rowOff>0</xdr:rowOff>
    </xdr:from>
    <xdr:to>
      <xdr:col>14</xdr:col>
      <xdr:colOff>9525</xdr:colOff>
      <xdr:row>1</xdr:row>
      <xdr:rowOff>419100</xdr:rowOff>
    </xdr:to>
    <xdr:pic>
      <xdr:nvPicPr>
        <xdr:cNvPr id="3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85725</xdr:rowOff>
    </xdr:from>
    <xdr:to>
      <xdr:col>8</xdr:col>
      <xdr:colOff>638175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>
          <a:off x="4562475" y="1876425"/>
          <a:ext cx="6381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114300</xdr:rowOff>
    </xdr:from>
    <xdr:to>
      <xdr:col>8</xdr:col>
      <xdr:colOff>685800</xdr:colOff>
      <xdr:row>15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562475" y="3400425"/>
          <a:ext cx="6858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1038225</xdr:colOff>
      <xdr:row>0</xdr:row>
      <xdr:rowOff>0</xdr:rowOff>
    </xdr:from>
    <xdr:to>
      <xdr:col>12</xdr:col>
      <xdr:colOff>85725</xdr:colOff>
      <xdr:row>1</xdr:row>
      <xdr:rowOff>419100</xdr:rowOff>
    </xdr:to>
    <xdr:pic>
      <xdr:nvPicPr>
        <xdr:cNvPr id="3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</xdr:row>
      <xdr:rowOff>19050</xdr:rowOff>
    </xdr:from>
    <xdr:to>
      <xdr:col>2</xdr:col>
      <xdr:colOff>552450</xdr:colOff>
      <xdr:row>10</xdr:row>
      <xdr:rowOff>19050</xdr:rowOff>
    </xdr:to>
    <xdr:pic>
      <xdr:nvPicPr>
        <xdr:cNvPr id="1" name="Picture 37" descr="Estadio Durb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2475"/>
          <a:ext cx="1638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</xdr:row>
      <xdr:rowOff>28575</xdr:rowOff>
    </xdr:from>
    <xdr:to>
      <xdr:col>5</xdr:col>
      <xdr:colOff>495300</xdr:colOff>
      <xdr:row>10</xdr:row>
      <xdr:rowOff>76200</xdr:rowOff>
    </xdr:to>
    <xdr:pic>
      <xdr:nvPicPr>
        <xdr:cNvPr id="2" name="pcImg" descr="The new Green Point Stadiu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62000"/>
          <a:ext cx="1666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3</xdr:row>
      <xdr:rowOff>19050</xdr:rowOff>
    </xdr:from>
    <xdr:to>
      <xdr:col>8</xdr:col>
      <xdr:colOff>504825</xdr:colOff>
      <xdr:row>10</xdr:row>
      <xdr:rowOff>76200</xdr:rowOff>
    </xdr:to>
    <xdr:pic>
      <xdr:nvPicPr>
        <xdr:cNvPr id="3" name="pcImg" descr="Ellis Park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752475"/>
          <a:ext cx="1838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</xdr:row>
      <xdr:rowOff>28575</xdr:rowOff>
    </xdr:from>
    <xdr:to>
      <xdr:col>11</xdr:col>
      <xdr:colOff>466725</xdr:colOff>
      <xdr:row>10</xdr:row>
      <xdr:rowOff>104775</xdr:rowOff>
    </xdr:to>
    <xdr:pic>
      <xdr:nvPicPr>
        <xdr:cNvPr id="4" name="pcImg" descr="Soccer City Stadium in Soweto with Johannesburg skyline in the background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762000"/>
          <a:ext cx="1733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12</xdr:row>
      <xdr:rowOff>95250</xdr:rowOff>
    </xdr:from>
    <xdr:to>
      <xdr:col>2</xdr:col>
      <xdr:colOff>581025</xdr:colOff>
      <xdr:row>19</xdr:row>
      <xdr:rowOff>28575</xdr:rowOff>
    </xdr:to>
    <xdr:pic>
      <xdr:nvPicPr>
        <xdr:cNvPr id="5" name="pcImg" descr="FIFA Confederations Cup stadiums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2286000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12</xdr:row>
      <xdr:rowOff>76200</xdr:rowOff>
    </xdr:from>
    <xdr:to>
      <xdr:col>5</xdr:col>
      <xdr:colOff>514350</xdr:colOff>
      <xdr:row>19</xdr:row>
      <xdr:rowOff>95250</xdr:rowOff>
    </xdr:to>
    <xdr:pic>
      <xdr:nvPicPr>
        <xdr:cNvPr id="6" name="pcImg" descr="Nelson Mandela Bay stadium on the edge of North End lake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38425" y="226695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</xdr:row>
      <xdr:rowOff>76200</xdr:rowOff>
    </xdr:from>
    <xdr:to>
      <xdr:col>8</xdr:col>
      <xdr:colOff>504825</xdr:colOff>
      <xdr:row>19</xdr:row>
      <xdr:rowOff>104775</xdr:rowOff>
    </xdr:to>
    <xdr:pic>
      <xdr:nvPicPr>
        <xdr:cNvPr id="7" name="pcImg" descr="Mbombela Stadium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00600" y="2266950"/>
          <a:ext cx="1800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12</xdr:row>
      <xdr:rowOff>85725</xdr:rowOff>
    </xdr:from>
    <xdr:to>
      <xdr:col>11</xdr:col>
      <xdr:colOff>504825</xdr:colOff>
      <xdr:row>19</xdr:row>
      <xdr:rowOff>114300</xdr:rowOff>
    </xdr:to>
    <xdr:pic>
      <xdr:nvPicPr>
        <xdr:cNvPr id="8" name="pcImg" descr="Peter Mokaba Stadium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86600" y="2276475"/>
          <a:ext cx="1800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21</xdr:row>
      <xdr:rowOff>95250</xdr:rowOff>
    </xdr:from>
    <xdr:to>
      <xdr:col>2</xdr:col>
      <xdr:colOff>600075</xdr:colOff>
      <xdr:row>28</xdr:row>
      <xdr:rowOff>133350</xdr:rowOff>
    </xdr:to>
    <xdr:pic>
      <xdr:nvPicPr>
        <xdr:cNvPr id="9" name="pcImg" descr="Royal Bafokeng stadium in June 2009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0525" y="3743325"/>
          <a:ext cx="1733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21</xdr:row>
      <xdr:rowOff>95250</xdr:rowOff>
    </xdr:from>
    <xdr:to>
      <xdr:col>5</xdr:col>
      <xdr:colOff>504825</xdr:colOff>
      <xdr:row>28</xdr:row>
      <xdr:rowOff>95250</xdr:rowOff>
    </xdr:to>
    <xdr:pic>
      <xdr:nvPicPr>
        <xdr:cNvPr id="10" name="pcImg" descr="Loftus Versfeld in May 2009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38425" y="3743325"/>
          <a:ext cx="1676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28575</xdr:rowOff>
    </xdr:from>
    <xdr:to>
      <xdr:col>16</xdr:col>
      <xdr:colOff>180975</xdr:colOff>
      <xdr:row>6</xdr:row>
      <xdr:rowOff>152400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676400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371475</xdr:colOff>
      <xdr:row>8</xdr:row>
      <xdr:rowOff>28575</xdr:rowOff>
    </xdr:from>
    <xdr:to>
      <xdr:col>16</xdr:col>
      <xdr:colOff>171450</xdr:colOff>
      <xdr:row>8</xdr:row>
      <xdr:rowOff>152400</xdr:rowOff>
    </xdr:to>
    <xdr:pic>
      <xdr:nvPicPr>
        <xdr:cNvPr id="2" name="Picture 46" descr="Mexic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203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9525</xdr:rowOff>
    </xdr:from>
    <xdr:to>
      <xdr:col>16</xdr:col>
      <xdr:colOff>180975</xdr:colOff>
      <xdr:row>10</xdr:row>
      <xdr:rowOff>133350</xdr:rowOff>
    </xdr:to>
    <xdr:pic>
      <xdr:nvPicPr>
        <xdr:cNvPr id="3" name="Picture 47" descr="Uruguay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238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38100</xdr:rowOff>
    </xdr:from>
    <xdr:to>
      <xdr:col>16</xdr:col>
      <xdr:colOff>180975</xdr:colOff>
      <xdr:row>12</xdr:row>
      <xdr:rowOff>161925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6950" y="2762250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0</xdr:rowOff>
    </xdr:from>
    <xdr:to>
      <xdr:col>18</xdr:col>
      <xdr:colOff>361950</xdr:colOff>
      <xdr:row>1</xdr:row>
      <xdr:rowOff>409575</xdr:rowOff>
    </xdr:to>
    <xdr:pic>
      <xdr:nvPicPr>
        <xdr:cNvPr id="5" name="Picture 55" descr="http://www.fifa.com/imgml/worldcup/head/wc2010logo.png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38925" y="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19050</xdr:rowOff>
    </xdr:from>
    <xdr:to>
      <xdr:col>18</xdr:col>
      <xdr:colOff>323850</xdr:colOff>
      <xdr:row>2</xdr:row>
      <xdr:rowOff>0</xdr:rowOff>
    </xdr:to>
    <xdr:pic>
      <xdr:nvPicPr>
        <xdr:cNvPr id="1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6</xdr:row>
      <xdr:rowOff>38100</xdr:rowOff>
    </xdr:from>
    <xdr:to>
      <xdr:col>15</xdr:col>
      <xdr:colOff>371475</xdr:colOff>
      <xdr:row>6</xdr:row>
      <xdr:rowOff>161925</xdr:rowOff>
    </xdr:to>
    <xdr:pic>
      <xdr:nvPicPr>
        <xdr:cNvPr id="2" name="Picture 45" descr="Argentin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8</xdr:row>
      <xdr:rowOff>28575</xdr:rowOff>
    </xdr:from>
    <xdr:to>
      <xdr:col>15</xdr:col>
      <xdr:colOff>352425</xdr:colOff>
      <xdr:row>8</xdr:row>
      <xdr:rowOff>152400</xdr:rowOff>
    </xdr:to>
    <xdr:pic>
      <xdr:nvPicPr>
        <xdr:cNvPr id="3" name="Picture 46" descr="Nigeria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72200" y="203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10</xdr:row>
      <xdr:rowOff>28575</xdr:rowOff>
    </xdr:from>
    <xdr:to>
      <xdr:col>15</xdr:col>
      <xdr:colOff>352425</xdr:colOff>
      <xdr:row>10</xdr:row>
      <xdr:rowOff>152400</xdr:rowOff>
    </xdr:to>
    <xdr:pic>
      <xdr:nvPicPr>
        <xdr:cNvPr id="4" name="Picture 47" descr="Korea Republic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72200" y="240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12</xdr:row>
      <xdr:rowOff>38100</xdr:rowOff>
    </xdr:from>
    <xdr:to>
      <xdr:col>15</xdr:col>
      <xdr:colOff>361950</xdr:colOff>
      <xdr:row>12</xdr:row>
      <xdr:rowOff>161925</xdr:rowOff>
    </xdr:to>
    <xdr:pic>
      <xdr:nvPicPr>
        <xdr:cNvPr id="5" name="Picture 48" descr="Greece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81725" y="276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466725</xdr:colOff>
      <xdr:row>0</xdr:row>
      <xdr:rowOff>0</xdr:rowOff>
    </xdr:from>
    <xdr:to>
      <xdr:col>18</xdr:col>
      <xdr:colOff>133350</xdr:colOff>
      <xdr:row>1</xdr:row>
      <xdr:rowOff>409575</xdr:rowOff>
    </xdr:to>
    <xdr:pic>
      <xdr:nvPicPr>
        <xdr:cNvPr id="1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6</xdr:row>
      <xdr:rowOff>38100</xdr:rowOff>
    </xdr:from>
    <xdr:to>
      <xdr:col>15</xdr:col>
      <xdr:colOff>381000</xdr:colOff>
      <xdr:row>6</xdr:row>
      <xdr:rowOff>161925</xdr:rowOff>
    </xdr:to>
    <xdr:pic>
      <xdr:nvPicPr>
        <xdr:cNvPr id="2" name="Picture 39" descr="England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38100</xdr:rowOff>
    </xdr:from>
    <xdr:to>
      <xdr:col>15</xdr:col>
      <xdr:colOff>381000</xdr:colOff>
      <xdr:row>8</xdr:row>
      <xdr:rowOff>161925</xdr:rowOff>
    </xdr:to>
    <xdr:pic>
      <xdr:nvPicPr>
        <xdr:cNvPr id="3" name="Picture 40" descr="USA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29375" y="204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10</xdr:row>
      <xdr:rowOff>28575</xdr:rowOff>
    </xdr:from>
    <xdr:to>
      <xdr:col>16</xdr:col>
      <xdr:colOff>19050</xdr:colOff>
      <xdr:row>10</xdr:row>
      <xdr:rowOff>152400</xdr:rowOff>
    </xdr:to>
    <xdr:pic>
      <xdr:nvPicPr>
        <xdr:cNvPr id="4" name="Picture 41" descr="Algeria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48425" y="240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12</xdr:row>
      <xdr:rowOff>28575</xdr:rowOff>
    </xdr:from>
    <xdr:to>
      <xdr:col>15</xdr:col>
      <xdr:colOff>381000</xdr:colOff>
      <xdr:row>12</xdr:row>
      <xdr:rowOff>152400</xdr:rowOff>
    </xdr:to>
    <xdr:pic>
      <xdr:nvPicPr>
        <xdr:cNvPr id="5" name="Picture 42" descr="Sloveni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29375" y="275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0</xdr:rowOff>
    </xdr:from>
    <xdr:to>
      <xdr:col>18</xdr:col>
      <xdr:colOff>342900</xdr:colOff>
      <xdr:row>1</xdr:row>
      <xdr:rowOff>409575</xdr:rowOff>
    </xdr:to>
    <xdr:pic>
      <xdr:nvPicPr>
        <xdr:cNvPr id="1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6</xdr:row>
      <xdr:rowOff>38100</xdr:rowOff>
    </xdr:from>
    <xdr:to>
      <xdr:col>16</xdr:col>
      <xdr:colOff>133350</xdr:colOff>
      <xdr:row>6</xdr:row>
      <xdr:rowOff>161925</xdr:rowOff>
    </xdr:to>
    <xdr:pic>
      <xdr:nvPicPr>
        <xdr:cNvPr id="2" name="Picture 40" descr="Germany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8</xdr:row>
      <xdr:rowOff>28575</xdr:rowOff>
    </xdr:from>
    <xdr:to>
      <xdr:col>16</xdr:col>
      <xdr:colOff>133350</xdr:colOff>
      <xdr:row>8</xdr:row>
      <xdr:rowOff>152400</xdr:rowOff>
    </xdr:to>
    <xdr:pic>
      <xdr:nvPicPr>
        <xdr:cNvPr id="3" name="Picture 41" descr="Australia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203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10</xdr:row>
      <xdr:rowOff>38100</xdr:rowOff>
    </xdr:from>
    <xdr:to>
      <xdr:col>16</xdr:col>
      <xdr:colOff>123825</xdr:colOff>
      <xdr:row>10</xdr:row>
      <xdr:rowOff>161925</xdr:rowOff>
    </xdr:to>
    <xdr:pic>
      <xdr:nvPicPr>
        <xdr:cNvPr id="4" name="Picture 42" descr="Serbia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19800" y="2409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12</xdr:row>
      <xdr:rowOff>28575</xdr:rowOff>
    </xdr:from>
    <xdr:to>
      <xdr:col>16</xdr:col>
      <xdr:colOff>133350</xdr:colOff>
      <xdr:row>12</xdr:row>
      <xdr:rowOff>152400</xdr:rowOff>
    </xdr:to>
    <xdr:pic>
      <xdr:nvPicPr>
        <xdr:cNvPr id="5" name="Picture 43" descr="Ghan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29325" y="275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19050</xdr:rowOff>
    </xdr:from>
    <xdr:to>
      <xdr:col>18</xdr:col>
      <xdr:colOff>342900</xdr:colOff>
      <xdr:row>2</xdr:row>
      <xdr:rowOff>0</xdr:rowOff>
    </xdr:to>
    <xdr:pic>
      <xdr:nvPicPr>
        <xdr:cNvPr id="1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6</xdr:row>
      <xdr:rowOff>47625</xdr:rowOff>
    </xdr:from>
    <xdr:to>
      <xdr:col>16</xdr:col>
      <xdr:colOff>47625</xdr:colOff>
      <xdr:row>6</xdr:row>
      <xdr:rowOff>171450</xdr:rowOff>
    </xdr:to>
    <xdr:pic>
      <xdr:nvPicPr>
        <xdr:cNvPr id="2" name="Picture 39" descr="Netherland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169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8</xdr:row>
      <xdr:rowOff>38100</xdr:rowOff>
    </xdr:from>
    <xdr:to>
      <xdr:col>16</xdr:col>
      <xdr:colOff>38100</xdr:colOff>
      <xdr:row>8</xdr:row>
      <xdr:rowOff>161925</xdr:rowOff>
    </xdr:to>
    <xdr:pic>
      <xdr:nvPicPr>
        <xdr:cNvPr id="3" name="Picture 40" descr="Denmark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34075" y="204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10</xdr:row>
      <xdr:rowOff>28575</xdr:rowOff>
    </xdr:from>
    <xdr:to>
      <xdr:col>16</xdr:col>
      <xdr:colOff>47625</xdr:colOff>
      <xdr:row>10</xdr:row>
      <xdr:rowOff>152400</xdr:rowOff>
    </xdr:to>
    <xdr:pic>
      <xdr:nvPicPr>
        <xdr:cNvPr id="4" name="Picture 41" descr="Japan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240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12</xdr:row>
      <xdr:rowOff>19050</xdr:rowOff>
    </xdr:from>
    <xdr:to>
      <xdr:col>16</xdr:col>
      <xdr:colOff>38100</xdr:colOff>
      <xdr:row>12</xdr:row>
      <xdr:rowOff>142875</xdr:rowOff>
    </xdr:to>
    <xdr:pic>
      <xdr:nvPicPr>
        <xdr:cNvPr id="5" name="Picture 42" descr="Cameroon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34075" y="274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9525</xdr:rowOff>
    </xdr:from>
    <xdr:to>
      <xdr:col>18</xdr:col>
      <xdr:colOff>323850</xdr:colOff>
      <xdr:row>1</xdr:row>
      <xdr:rowOff>419100</xdr:rowOff>
    </xdr:to>
    <xdr:pic>
      <xdr:nvPicPr>
        <xdr:cNvPr id="1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952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6</xdr:row>
      <xdr:rowOff>38100</xdr:rowOff>
    </xdr:from>
    <xdr:to>
      <xdr:col>15</xdr:col>
      <xdr:colOff>371475</xdr:colOff>
      <xdr:row>6</xdr:row>
      <xdr:rowOff>161925</xdr:rowOff>
    </xdr:to>
    <xdr:pic>
      <xdr:nvPicPr>
        <xdr:cNvPr id="2" name="Picture 39" descr="Italy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168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28575</xdr:rowOff>
    </xdr:from>
    <xdr:to>
      <xdr:col>15</xdr:col>
      <xdr:colOff>381000</xdr:colOff>
      <xdr:row>8</xdr:row>
      <xdr:rowOff>152400</xdr:rowOff>
    </xdr:to>
    <xdr:pic>
      <xdr:nvPicPr>
        <xdr:cNvPr id="3" name="Picture 40" descr="Paraguay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95975" y="203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10</xdr:row>
      <xdr:rowOff>47625</xdr:rowOff>
    </xdr:from>
    <xdr:to>
      <xdr:col>15</xdr:col>
      <xdr:colOff>381000</xdr:colOff>
      <xdr:row>10</xdr:row>
      <xdr:rowOff>171450</xdr:rowOff>
    </xdr:to>
    <xdr:pic>
      <xdr:nvPicPr>
        <xdr:cNvPr id="4" name="Picture 41" descr="New Zealand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95975" y="241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12</xdr:row>
      <xdr:rowOff>9525</xdr:rowOff>
    </xdr:from>
    <xdr:to>
      <xdr:col>16</xdr:col>
      <xdr:colOff>9525</xdr:colOff>
      <xdr:row>12</xdr:row>
      <xdr:rowOff>133350</xdr:rowOff>
    </xdr:to>
    <xdr:pic>
      <xdr:nvPicPr>
        <xdr:cNvPr id="5" name="Picture 42" descr="Slovaki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273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9525</xdr:rowOff>
    </xdr:from>
    <xdr:to>
      <xdr:col>18</xdr:col>
      <xdr:colOff>333375</xdr:colOff>
      <xdr:row>1</xdr:row>
      <xdr:rowOff>419100</xdr:rowOff>
    </xdr:to>
    <xdr:pic>
      <xdr:nvPicPr>
        <xdr:cNvPr id="1" name="Picture 55" descr="http://www.fifa.com/imgml/worldcup/head/wc2010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52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6</xdr:row>
      <xdr:rowOff>28575</xdr:rowOff>
    </xdr:from>
    <xdr:to>
      <xdr:col>15</xdr:col>
      <xdr:colOff>352425</xdr:colOff>
      <xdr:row>6</xdr:row>
      <xdr:rowOff>152400</xdr:rowOff>
    </xdr:to>
    <xdr:pic>
      <xdr:nvPicPr>
        <xdr:cNvPr id="2" name="Picture 41" descr="Brazil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167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8</xdr:row>
      <xdr:rowOff>28575</xdr:rowOff>
    </xdr:from>
    <xdr:to>
      <xdr:col>15</xdr:col>
      <xdr:colOff>352425</xdr:colOff>
      <xdr:row>8</xdr:row>
      <xdr:rowOff>152400</xdr:rowOff>
    </xdr:to>
    <xdr:pic>
      <xdr:nvPicPr>
        <xdr:cNvPr id="3" name="Picture 42" descr="Korea DPR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67400" y="203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10</xdr:row>
      <xdr:rowOff>19050</xdr:rowOff>
    </xdr:from>
    <xdr:to>
      <xdr:col>15</xdr:col>
      <xdr:colOff>342900</xdr:colOff>
      <xdr:row>10</xdr:row>
      <xdr:rowOff>142875</xdr:rowOff>
    </xdr:to>
    <xdr:pic>
      <xdr:nvPicPr>
        <xdr:cNvPr id="4" name="Picture 43" descr="Côte d'Ivoire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57875" y="239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12</xdr:row>
      <xdr:rowOff>28575</xdr:rowOff>
    </xdr:from>
    <xdr:to>
      <xdr:col>15</xdr:col>
      <xdr:colOff>361950</xdr:colOff>
      <xdr:row>12</xdr:row>
      <xdr:rowOff>152400</xdr:rowOff>
    </xdr:to>
    <xdr:pic>
      <xdr:nvPicPr>
        <xdr:cNvPr id="5" name="Picture 44" descr="Portugal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76925" y="275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showGridLines="0" showRowColHeaders="0" showOutlineSymbols="0" zoomScalePageLayoutView="0" workbookViewId="0" topLeftCell="A1">
      <selection activeCell="I5" sqref="I5"/>
    </sheetView>
  </sheetViews>
  <sheetFormatPr defaultColWidth="11.421875" defaultRowHeight="12.75"/>
  <cols>
    <col min="1" max="2" width="11.421875" style="119" customWidth="1"/>
    <col min="3" max="3" width="11.7109375" style="119" customWidth="1"/>
    <col min="4" max="6" width="11.421875" style="119" customWidth="1"/>
    <col min="7" max="7" width="9.57421875" style="119" customWidth="1"/>
    <col min="8" max="8" width="3.421875" style="119" customWidth="1"/>
    <col min="9" max="9" width="16.28125" style="126" bestFit="1" customWidth="1"/>
    <col min="10" max="10" width="3.00390625" style="126" customWidth="1"/>
    <col min="11" max="11" width="15.140625" style="126" bestFit="1" customWidth="1"/>
    <col min="12" max="16384" width="11.421875" style="119" customWidth="1"/>
  </cols>
  <sheetData>
    <row r="2" spans="2:11" ht="25.5">
      <c r="B2" s="201" t="s">
        <v>120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2:11" ht="15">
      <c r="B3" s="202" t="s">
        <v>121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2:11" ht="25.5" thickBot="1">
      <c r="B4" s="203" t="s">
        <v>119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9:11" s="120" customFormat="1" ht="18" customHeight="1" thickBot="1">
      <c r="I5" s="140" t="s">
        <v>42</v>
      </c>
      <c r="J5" s="121"/>
      <c r="K5" s="140" t="s">
        <v>43</v>
      </c>
    </row>
    <row r="6" spans="9:11" s="120" customFormat="1" ht="13.5" thickBot="1">
      <c r="I6" s="121"/>
      <c r="J6" s="121"/>
      <c r="K6" s="121"/>
    </row>
    <row r="7" spans="9:11" s="120" customFormat="1" ht="18" customHeight="1" thickBot="1">
      <c r="I7" s="140" t="s">
        <v>44</v>
      </c>
      <c r="J7" s="121"/>
      <c r="K7" s="140" t="s">
        <v>45</v>
      </c>
    </row>
    <row r="8" spans="9:11" s="120" customFormat="1" ht="13.5" thickBot="1">
      <c r="I8" s="121"/>
      <c r="J8" s="121"/>
      <c r="K8" s="121"/>
    </row>
    <row r="9" spans="3:11" s="120" customFormat="1" ht="18" customHeight="1" thickBot="1">
      <c r="C9"/>
      <c r="I9" s="140" t="s">
        <v>46</v>
      </c>
      <c r="J9" s="121"/>
      <c r="K9" s="140" t="s">
        <v>47</v>
      </c>
    </row>
    <row r="10" spans="3:11" s="120" customFormat="1" ht="13.5" thickBot="1">
      <c r="C10"/>
      <c r="I10" s="121"/>
      <c r="J10" s="121"/>
      <c r="K10" s="121"/>
    </row>
    <row r="11" spans="3:11" s="120" customFormat="1" ht="18" customHeight="1" thickBot="1">
      <c r="C11"/>
      <c r="I11" s="140" t="s">
        <v>48</v>
      </c>
      <c r="J11" s="121"/>
      <c r="K11" s="140" t="s">
        <v>49</v>
      </c>
    </row>
    <row r="12" spans="3:11" s="120" customFormat="1" ht="13.5" thickBot="1">
      <c r="C12"/>
      <c r="I12" s="121"/>
      <c r="J12" s="121"/>
      <c r="K12" s="121"/>
    </row>
    <row r="13" spans="3:11" s="120" customFormat="1" ht="18" customHeight="1" thickBot="1">
      <c r="C13"/>
      <c r="I13" s="140" t="s">
        <v>94</v>
      </c>
      <c r="J13" s="121"/>
      <c r="K13" s="140" t="s">
        <v>95</v>
      </c>
    </row>
    <row r="14" spans="9:11" s="120" customFormat="1" ht="13.5" thickBot="1">
      <c r="I14" s="121"/>
      <c r="J14" s="121"/>
      <c r="K14" s="121"/>
    </row>
    <row r="15" spans="9:11" s="120" customFormat="1" ht="18" customHeight="1" thickBot="1">
      <c r="I15" s="140" t="s">
        <v>51</v>
      </c>
      <c r="J15" s="122"/>
      <c r="K15" s="140" t="s">
        <v>50</v>
      </c>
    </row>
    <row r="16" spans="9:11" s="120" customFormat="1" ht="13.5" thickBot="1">
      <c r="I16" s="123"/>
      <c r="J16" s="123"/>
      <c r="K16" s="123"/>
    </row>
    <row r="17" spans="3:11" s="120" customFormat="1" ht="18" customHeight="1" thickBot="1">
      <c r="C17" s="140" t="s">
        <v>52</v>
      </c>
      <c r="I17" s="124"/>
      <c r="K17" s="123"/>
    </row>
    <row r="18" spans="9:11" ht="12.75">
      <c r="I18" s="125"/>
      <c r="J18" s="125"/>
      <c r="K18" s="125"/>
    </row>
    <row r="19" spans="2:11" ht="12.75">
      <c r="B19" s="204" t="s">
        <v>82</v>
      </c>
      <c r="C19" s="204"/>
      <c r="D19" s="204"/>
      <c r="J19" s="127"/>
      <c r="K19" s="125"/>
    </row>
    <row r="20" ht="12.75">
      <c r="H20" s="128"/>
    </row>
    <row r="21" spans="5:8" ht="12.75">
      <c r="E21" s="198"/>
      <c r="F21" s="199"/>
      <c r="G21" s="199"/>
      <c r="H21" s="139"/>
    </row>
    <row r="22" spans="5:7" ht="12.75">
      <c r="E22" s="200"/>
      <c r="F22" s="200"/>
      <c r="G22" s="200"/>
    </row>
  </sheetData>
  <sheetProtection password="CDA0" sheet="1" objects="1" scenarios="1"/>
  <mergeCells count="6">
    <mergeCell ref="E21:G21"/>
    <mergeCell ref="E22:G22"/>
    <mergeCell ref="B2:K2"/>
    <mergeCell ref="B3:K3"/>
    <mergeCell ref="B4:K4"/>
    <mergeCell ref="B19:D19"/>
  </mergeCells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itavas de Final'!A1" display="Oitavas de Final"/>
    <hyperlink ref="K13" location="'Quartas de Final'!A1" display="Quartas de Final"/>
    <hyperlink ref="I15" location="Semifinal!A1" display="SemiFinal"/>
    <hyperlink ref="K15" location="'3º Lugar e FINAL'!A1" display="FINAL"/>
    <hyperlink ref="C17" location="Estadios!A1" display="ESTADIOS"/>
    <hyperlink ref="B19:D19" location="Fixture!A1" display="Fixture ( para imprimir )"/>
  </hyperlink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showOutlineSymbols="0" zoomScalePageLayoutView="0" workbookViewId="0" topLeftCell="A1">
      <selection activeCell="E7" sqref="E7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3" width="3.7109375" style="4" customWidth="1"/>
    <col min="14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130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62</v>
      </c>
      <c r="Q4" s="220"/>
      <c r="R4" s="220"/>
      <c r="S4" s="220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7" t="str">
        <f>Q7</f>
        <v>Espanha</v>
      </c>
      <c r="C6" s="18"/>
      <c r="D6" s="19" t="s">
        <v>0</v>
      </c>
      <c r="E6" s="18"/>
      <c r="F6" s="20" t="str">
        <f>Q9</f>
        <v>Suiça</v>
      </c>
      <c r="G6" s="129" t="s">
        <v>141</v>
      </c>
      <c r="H6" s="216">
        <v>40345</v>
      </c>
      <c r="I6" s="216"/>
      <c r="J6" s="213">
        <v>0.4583333333333333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Honduras</v>
      </c>
      <c r="C7" s="18"/>
      <c r="D7" s="19" t="s">
        <v>0</v>
      </c>
      <c r="E7" s="18"/>
      <c r="F7" s="20" t="str">
        <f>Q13</f>
        <v>Chile</v>
      </c>
      <c r="G7" s="129" t="s">
        <v>135</v>
      </c>
      <c r="H7" s="216">
        <v>40345</v>
      </c>
      <c r="I7" s="216"/>
      <c r="J7" s="213">
        <v>0.3541666666666667</v>
      </c>
      <c r="K7" s="213"/>
      <c r="L7" s="212">
        <f t="shared" si="0"/>
      </c>
      <c r="M7" s="212"/>
      <c r="N7" s="21"/>
      <c r="O7" s="22"/>
      <c r="P7" s="162"/>
      <c r="Q7" s="218" t="s">
        <v>93</v>
      </c>
      <c r="R7" s="218"/>
      <c r="S7" s="162"/>
    </row>
    <row r="8" spans="1:19" ht="14.25" customHeight="1">
      <c r="A8" s="14">
        <f>IF(OR(L8="finalizado",L8="en juego",L8="hoy!"),"Ø","")</f>
      </c>
      <c r="B8" s="17" t="str">
        <f>Q7</f>
        <v>Espanha</v>
      </c>
      <c r="C8" s="18"/>
      <c r="D8" s="19" t="s">
        <v>0</v>
      </c>
      <c r="E8" s="18"/>
      <c r="F8" s="20" t="str">
        <f>Q11</f>
        <v>Honduras</v>
      </c>
      <c r="G8" s="129" t="s">
        <v>134</v>
      </c>
      <c r="H8" s="216">
        <v>40350</v>
      </c>
      <c r="I8" s="216"/>
      <c r="J8" s="213">
        <v>0.6458333333333334</v>
      </c>
      <c r="K8" s="213"/>
      <c r="L8" s="212">
        <f t="shared" si="0"/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Chile</v>
      </c>
      <c r="C9" s="18"/>
      <c r="D9" s="19" t="s">
        <v>0</v>
      </c>
      <c r="E9" s="18"/>
      <c r="F9" s="20" t="str">
        <f>Q9</f>
        <v>Suiça</v>
      </c>
      <c r="G9" s="129" t="s">
        <v>124</v>
      </c>
      <c r="H9" s="216">
        <v>40350</v>
      </c>
      <c r="I9" s="216"/>
      <c r="J9" s="213">
        <v>0.4583333333333333</v>
      </c>
      <c r="K9" s="213"/>
      <c r="L9" s="212">
        <f t="shared" si="0"/>
      </c>
      <c r="M9" s="212"/>
      <c r="P9" s="162"/>
      <c r="Q9" s="218" t="s">
        <v>92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Chile</v>
      </c>
      <c r="C10" s="18"/>
      <c r="D10" s="19" t="s">
        <v>0</v>
      </c>
      <c r="E10" s="18"/>
      <c r="F10" s="20" t="str">
        <f>Q7</f>
        <v>Espanha</v>
      </c>
      <c r="G10" s="129" t="s">
        <v>126</v>
      </c>
      <c r="H10" s="216">
        <v>40354</v>
      </c>
      <c r="I10" s="216"/>
      <c r="J10" s="213">
        <v>0.6458333333333334</v>
      </c>
      <c r="K10" s="213"/>
      <c r="L10" s="212">
        <f t="shared" si="0"/>
      </c>
      <c r="M10" s="212"/>
      <c r="P10" s="163"/>
      <c r="Q10" s="60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Suiça</v>
      </c>
      <c r="C11" s="18"/>
      <c r="D11" s="19" t="s">
        <v>0</v>
      </c>
      <c r="E11" s="18"/>
      <c r="F11" s="20" t="str">
        <f>Q11</f>
        <v>Honduras</v>
      </c>
      <c r="G11" s="129" t="s">
        <v>129</v>
      </c>
      <c r="H11" s="216">
        <v>40354</v>
      </c>
      <c r="I11" s="216"/>
      <c r="J11" s="213">
        <v>0.6458333333333334</v>
      </c>
      <c r="K11" s="213"/>
      <c r="L11" s="212">
        <f t="shared" si="0"/>
      </c>
      <c r="M11" s="212"/>
      <c r="P11" s="162"/>
      <c r="Q11" s="218" t="s">
        <v>150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151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calculoH!F52</f>
        <v>Espanha</v>
      </c>
      <c r="H17" s="20">
        <f>calculoH!G52</f>
        <v>0</v>
      </c>
      <c r="I17" s="20">
        <f>calculoH!H52</f>
        <v>0</v>
      </c>
      <c r="J17" s="20">
        <f>calculoH!I52</f>
        <v>0</v>
      </c>
      <c r="K17" s="20">
        <f>calculoH!J52</f>
        <v>0</v>
      </c>
      <c r="L17" s="20">
        <f>calculoH!K52</f>
        <v>0</v>
      </c>
      <c r="M17" s="20">
        <f>calculoH!L52</f>
        <v>0</v>
      </c>
      <c r="N17" s="20">
        <f>L17-M17</f>
        <v>0</v>
      </c>
      <c r="O17" s="20">
        <f>calculoH!M52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calculoH!F53</f>
        <v>Suiça</v>
      </c>
      <c r="H18" s="20">
        <f>calculoH!G53</f>
        <v>0</v>
      </c>
      <c r="I18" s="20">
        <f>calculoH!H53</f>
        <v>0</v>
      </c>
      <c r="J18" s="20">
        <f>calculoH!I53</f>
        <v>0</v>
      </c>
      <c r="K18" s="20">
        <f>calculoH!J53</f>
        <v>0</v>
      </c>
      <c r="L18" s="20">
        <f>calculoH!K53</f>
        <v>0</v>
      </c>
      <c r="M18" s="20">
        <f>calculoH!L53</f>
        <v>0</v>
      </c>
      <c r="N18" s="20">
        <f>L18-M18</f>
        <v>0</v>
      </c>
      <c r="O18" s="20">
        <f>calculoH!M53</f>
        <v>0</v>
      </c>
      <c r="P18" s="35"/>
      <c r="Q18" s="33"/>
      <c r="R18" s="34"/>
      <c r="S18" s="33"/>
    </row>
    <row r="19" spans="6:19" ht="12.75">
      <c r="F19" s="33"/>
      <c r="G19" s="50" t="str">
        <f>calculoH!F54</f>
        <v>Honduras</v>
      </c>
      <c r="H19" s="20">
        <f>calculoH!G54</f>
        <v>0</v>
      </c>
      <c r="I19" s="20">
        <f>calculoH!H54</f>
        <v>0</v>
      </c>
      <c r="J19" s="20">
        <f>calculoH!I54</f>
        <v>0</v>
      </c>
      <c r="K19" s="20">
        <f>calculoH!J54</f>
        <v>0</v>
      </c>
      <c r="L19" s="20">
        <f>calculoH!K54</f>
        <v>0</v>
      </c>
      <c r="M19" s="20">
        <f>calculoH!L54</f>
        <v>0</v>
      </c>
      <c r="N19" s="20">
        <f>L19-M19</f>
        <v>0</v>
      </c>
      <c r="O19" s="20">
        <f>calculoH!M54</f>
        <v>0</v>
      </c>
      <c r="P19" s="36"/>
      <c r="Q19" s="33"/>
      <c r="R19" s="34"/>
      <c r="S19" s="33"/>
    </row>
    <row r="20" spans="6:19" ht="12.75">
      <c r="F20" s="33"/>
      <c r="G20" s="50" t="str">
        <f>calculoH!F55</f>
        <v>Chile</v>
      </c>
      <c r="H20" s="20">
        <f>calculoH!G55</f>
        <v>0</v>
      </c>
      <c r="I20" s="20">
        <f>calculoH!H55</f>
        <v>0</v>
      </c>
      <c r="J20" s="20">
        <f>calculoH!I55</f>
        <v>0</v>
      </c>
      <c r="K20" s="20">
        <f>calculoH!J55</f>
        <v>0</v>
      </c>
      <c r="L20" s="20">
        <f>calculoH!K55</f>
        <v>0</v>
      </c>
      <c r="M20" s="20">
        <f>calculoH!L55</f>
        <v>0</v>
      </c>
      <c r="N20" s="20">
        <f>L20-M20</f>
        <v>0</v>
      </c>
      <c r="O20" s="20">
        <f>calculoH!M55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G7 J7:M7">
    <cfRule type="expression" priority="3" dxfId="0" stopIfTrue="1">
      <formula>IF(OR($L$7="en juego",$L$7="hoy!"),1,0)</formula>
    </cfRule>
  </conditionalFormatting>
  <conditionalFormatting sqref="B6:M6 H7:I7">
    <cfRule type="expression" priority="4" dxfId="0" stopIfTrue="1">
      <formula>IF(OR($L$6="en juego",$L$6="hoy!"),1,0)</formula>
    </cfRule>
  </conditionalFormatting>
  <conditionalFormatting sqref="B8:M8 H9:I9">
    <cfRule type="expression" priority="5" dxfId="0" stopIfTrue="1">
      <formula>IF(OR($L$8="en juego",$L$8="hoy!"),1,0)</formula>
    </cfRule>
  </conditionalFormatting>
  <conditionalFormatting sqref="B9:G9 J9:M9 J10:K11">
    <cfRule type="expression" priority="6" dxfId="0" stopIfTrue="1">
      <formula>IF(OR($L$9="en juego",$L$9="hoy!"),1,0)</formula>
    </cfRule>
  </conditionalFormatting>
  <conditionalFormatting sqref="H11:I11 B10:I10 L10:M10">
    <cfRule type="expression" priority="7" dxfId="0" stopIfTrue="1">
      <formula>IF(OR($L$10="en juego",$L$10="hoy!"),1,0)</formula>
    </cfRule>
  </conditionalFormatting>
  <conditionalFormatting sqref="B11:G11 L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ignoredErrors>
    <ignoredError sqref="F10 F7 B8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76"/>
  <sheetViews>
    <sheetView showGridLines="0" showRowColHeaders="0" showOutlineSymbols="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11.421875" defaultRowHeight="12.75"/>
  <cols>
    <col min="1" max="1" width="1.7109375" style="33" bestFit="1" customWidth="1"/>
    <col min="2" max="2" width="11.140625" style="33" bestFit="1" customWidth="1"/>
    <col min="3" max="4" width="6.7109375" style="33" customWidth="1"/>
    <col min="5" max="5" width="14.7109375" style="33" customWidth="1"/>
    <col min="6" max="6" width="3.7109375" style="33" customWidth="1"/>
    <col min="7" max="7" width="2.00390625" style="33" customWidth="1"/>
    <col min="8" max="8" width="6.57421875" style="33" customWidth="1"/>
    <col min="9" max="9" width="11.7109375" style="33" customWidth="1"/>
    <col min="10" max="10" width="15.7109375" style="33" customWidth="1"/>
    <col min="11" max="11" width="4.7109375" style="33" customWidth="1"/>
    <col min="12" max="12" width="7.7109375" style="33" bestFit="1" customWidth="1"/>
    <col min="13" max="13" width="5.421875" style="33" bestFit="1" customWidth="1"/>
    <col min="14" max="14" width="1.7109375" style="33" customWidth="1"/>
    <col min="15" max="15" width="11.421875" style="33" customWidth="1"/>
    <col min="16" max="16" width="2.421875" style="33" hidden="1" customWidth="1"/>
    <col min="17" max="17" width="2.00390625" style="33" hidden="1" customWidth="1"/>
    <col min="18" max="16384" width="11.421875" style="33" customWidth="1"/>
  </cols>
  <sheetData>
    <row r="1" spans="1:24" s="108" customFormat="1" ht="9.75" customHeight="1">
      <c r="A1" s="223" t="s">
        <v>161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31"/>
      <c r="Q1" s="131"/>
      <c r="R1" s="131"/>
      <c r="S1" s="131"/>
      <c r="T1" s="69"/>
      <c r="U1" s="69"/>
      <c r="V1" s="109"/>
      <c r="W1" s="109"/>
      <c r="X1" s="109"/>
    </row>
    <row r="2" spans="1:24" s="108" customFormat="1" ht="9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31"/>
      <c r="Q2" s="131"/>
      <c r="R2" s="131"/>
      <c r="S2" s="131"/>
      <c r="T2" s="69"/>
      <c r="U2" s="69"/>
      <c r="V2" s="109"/>
      <c r="W2" s="109"/>
      <c r="X2" s="109"/>
    </row>
    <row r="3" spans="1:24" ht="15" customHeight="1" hidden="1">
      <c r="A3" s="60"/>
      <c r="B3" s="60"/>
      <c r="C3" s="60"/>
      <c r="D3" s="60"/>
      <c r="E3" s="72"/>
      <c r="F3" s="71"/>
      <c r="G3" s="60"/>
      <c r="H3" s="60"/>
      <c r="I3" s="60"/>
      <c r="J3" s="60"/>
      <c r="K3" s="60"/>
      <c r="L3" s="73"/>
      <c r="M3" s="74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2.75" customHeight="1" hidden="1">
      <c r="A4" s="60"/>
      <c r="B4" s="60"/>
      <c r="C4" s="60"/>
      <c r="D4" s="60"/>
      <c r="E4" s="68"/>
      <c r="F4" s="74"/>
      <c r="G4" s="60"/>
      <c r="H4" s="60"/>
      <c r="I4" s="60"/>
      <c r="J4" s="60"/>
      <c r="K4" s="60"/>
      <c r="L4" s="110"/>
      <c r="M4" s="111"/>
      <c r="N4" s="60"/>
      <c r="O4" s="161"/>
      <c r="P4" s="60"/>
      <c r="Q4" s="60"/>
      <c r="R4" s="60"/>
      <c r="S4" s="60"/>
      <c r="T4" s="60"/>
      <c r="U4" s="60"/>
      <c r="V4" s="60"/>
      <c r="W4" s="60"/>
      <c r="X4" s="60"/>
    </row>
    <row r="5" spans="1:24" ht="12" customHeight="1">
      <c r="A5" s="186"/>
      <c r="B5" s="221" t="s">
        <v>98</v>
      </c>
      <c r="C5" s="221"/>
      <c r="D5" s="221"/>
      <c r="E5" s="221" t="s">
        <v>29</v>
      </c>
      <c r="F5" s="221"/>
      <c r="G5" s="222" t="s">
        <v>97</v>
      </c>
      <c r="H5" s="222"/>
      <c r="I5" s="103"/>
      <c r="J5" s="132" t="s">
        <v>102</v>
      </c>
      <c r="K5" s="187"/>
      <c r="L5" s="110">
        <f ca="1">TODAY()</f>
        <v>40231</v>
      </c>
      <c r="M5" s="111">
        <f ca="1">NOW()</f>
        <v>40231.55830810185</v>
      </c>
      <c r="N5" s="60"/>
      <c r="O5" s="161" t="s">
        <v>53</v>
      </c>
      <c r="P5" s="60"/>
      <c r="Q5" s="60"/>
      <c r="R5" s="60"/>
      <c r="S5" s="60"/>
      <c r="T5" s="60"/>
      <c r="U5" s="60"/>
      <c r="V5" s="60"/>
      <c r="W5" s="60"/>
      <c r="X5" s="60"/>
    </row>
    <row r="6" spans="1:24" ht="15" customHeight="1">
      <c r="A6" s="61"/>
      <c r="B6" s="59"/>
      <c r="C6" s="59"/>
      <c r="D6" s="59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 t="s">
        <v>30</v>
      </c>
      <c r="Q6" s="60">
        <f>SUM('- A -'!$H$17:$H$20)</f>
        <v>0</v>
      </c>
      <c r="R6" s="60"/>
      <c r="S6" s="60"/>
      <c r="T6" s="60"/>
      <c r="U6" s="60"/>
      <c r="V6" s="60"/>
      <c r="W6" s="60"/>
      <c r="X6" s="60"/>
    </row>
    <row r="7" spans="1:24" ht="12" customHeight="1">
      <c r="A7" s="61"/>
      <c r="B7" s="59"/>
      <c r="C7" s="59"/>
      <c r="D7" s="59"/>
      <c r="E7" s="141" t="str">
        <f>IF('- A -'!H17=0,"1ero Grupo A",'- A -'!G17)</f>
        <v>1ero Grupo A</v>
      </c>
      <c r="F7" s="142"/>
      <c r="G7" s="54"/>
      <c r="H7" s="83"/>
      <c r="I7" s="59"/>
      <c r="J7" s="59"/>
      <c r="K7" s="60"/>
      <c r="L7" s="60"/>
      <c r="M7" s="60"/>
      <c r="N7" s="60"/>
      <c r="O7" s="60"/>
      <c r="P7" s="60" t="s">
        <v>31</v>
      </c>
      <c r="Q7" s="60">
        <f>SUM('- B -'!$H$17:$H$20)</f>
        <v>0</v>
      </c>
      <c r="R7" s="60"/>
      <c r="S7" s="60"/>
      <c r="T7" s="60"/>
      <c r="U7" s="60"/>
      <c r="V7" s="60"/>
      <c r="W7" s="60"/>
      <c r="X7" s="60"/>
    </row>
    <row r="8" spans="1:24" ht="12" customHeight="1">
      <c r="A8" s="113" t="str">
        <f>IF(OR(E8="en juego",E8="hoy!",E8="finalizado"),"  -&gt;     1","1")</f>
        <v>1</v>
      </c>
      <c r="B8" s="135" t="s">
        <v>134</v>
      </c>
      <c r="C8" s="114">
        <v>40355</v>
      </c>
      <c r="D8" s="115">
        <v>0.6666666666666666</v>
      </c>
      <c r="E8" s="117">
        <f>IF(OR(C8="",D8="",C8&lt;$L$5),"",IF(C8=$L$5,IF(AND(D8&lt;=$S$27,$S$27&lt;=(D8+0.08333333333)),"em jogo",IF($S$27&lt;D8,"hoje!","finalizado")),IF($L$4&gt;C8,"finalizado","")))</f>
      </c>
      <c r="F8" s="143"/>
      <c r="G8" s="88"/>
      <c r="H8" s="89"/>
      <c r="I8" s="90"/>
      <c r="J8" s="144" t="str">
        <f>IF(OR(F7="",F9="",AND(F7=F9,OR(G7="",G9=""))),"OF1",IF(F7=F9,IF(G7&gt;G9,E7,E9),IF(F7&gt;F9,E7,E9)))</f>
        <v>OF1</v>
      </c>
      <c r="K8" s="189"/>
      <c r="L8" s="60"/>
      <c r="M8" s="60"/>
      <c r="N8" s="60"/>
      <c r="O8" s="60"/>
      <c r="P8" s="60" t="s">
        <v>32</v>
      </c>
      <c r="Q8" s="60">
        <f>SUM('- C -'!$H$17:$H$20)</f>
        <v>0</v>
      </c>
      <c r="R8" s="60"/>
      <c r="S8" s="60"/>
      <c r="T8" s="60"/>
      <c r="U8" s="60"/>
      <c r="V8" s="60"/>
      <c r="W8" s="60"/>
      <c r="X8" s="60"/>
    </row>
    <row r="9" spans="1:24" ht="12" customHeight="1">
      <c r="A9" s="61"/>
      <c r="B9" s="136"/>
      <c r="C9" s="59"/>
      <c r="D9" s="59"/>
      <c r="E9" s="141" t="str">
        <f>IF('- B -'!H18=0,"2do Grupo B",'- B -'!G18)</f>
        <v>2do Grupo B</v>
      </c>
      <c r="F9" s="142"/>
      <c r="G9" s="55"/>
      <c r="H9" s="92"/>
      <c r="I9" s="59"/>
      <c r="J9" s="59"/>
      <c r="K9" s="60"/>
      <c r="L9" s="60"/>
      <c r="M9" s="60"/>
      <c r="N9" s="60"/>
      <c r="O9" s="60"/>
      <c r="P9" s="60" t="s">
        <v>33</v>
      </c>
      <c r="Q9" s="60">
        <f>SUM('- D -'!$H$17:$H$20)</f>
        <v>0</v>
      </c>
      <c r="R9" s="60"/>
      <c r="S9" s="60"/>
      <c r="T9" s="60"/>
      <c r="U9" s="60"/>
      <c r="V9" s="60"/>
      <c r="W9" s="60"/>
      <c r="X9" s="60"/>
    </row>
    <row r="10" spans="1:24" ht="15" customHeight="1">
      <c r="A10" s="61"/>
      <c r="B10" s="136"/>
      <c r="C10" s="59"/>
      <c r="D10" s="59"/>
      <c r="E10" s="59"/>
      <c r="F10" s="143"/>
      <c r="G10" s="59"/>
      <c r="H10" s="59"/>
      <c r="I10" s="59"/>
      <c r="J10" s="59"/>
      <c r="K10" s="60"/>
      <c r="L10" s="60"/>
      <c r="M10" s="60"/>
      <c r="N10" s="60"/>
      <c r="O10" s="60"/>
      <c r="P10" s="60" t="s">
        <v>18</v>
      </c>
      <c r="Q10" s="60">
        <f>SUM('- E -'!$H$17:$H$20)</f>
        <v>0</v>
      </c>
      <c r="R10" s="60"/>
      <c r="S10" s="60"/>
      <c r="T10" s="60"/>
      <c r="U10" s="60"/>
      <c r="V10" s="60"/>
      <c r="W10" s="60"/>
      <c r="X10" s="60"/>
    </row>
    <row r="11" spans="1:24" ht="12" customHeight="1">
      <c r="A11" s="61"/>
      <c r="B11" s="136"/>
      <c r="C11" s="114"/>
      <c r="D11" s="59"/>
      <c r="E11" s="141" t="str">
        <f>IF('- C -'!H17=0,"1ero Grupo C",'- C -'!G17)</f>
        <v>1ero Grupo C</v>
      </c>
      <c r="F11" s="142"/>
      <c r="G11" s="54"/>
      <c r="H11" s="83"/>
      <c r="I11" s="59"/>
      <c r="J11" s="59"/>
      <c r="K11" s="60"/>
      <c r="L11" s="60"/>
      <c r="M11" s="60"/>
      <c r="N11" s="60"/>
      <c r="O11" s="60"/>
      <c r="P11" s="60" t="s">
        <v>36</v>
      </c>
      <c r="Q11" s="60">
        <f>SUM('- F -'!$H$17:$H$20)</f>
        <v>0</v>
      </c>
      <c r="R11" s="60"/>
      <c r="S11" s="60"/>
      <c r="T11" s="60"/>
      <c r="U11" s="60"/>
      <c r="V11" s="60"/>
      <c r="W11" s="60"/>
      <c r="X11" s="60"/>
    </row>
    <row r="12" spans="1:24" ht="12" customHeight="1">
      <c r="A12" s="113" t="str">
        <f>IF(OR(E12="en juego",E12="hoy!",E12="finalizado"),"  -&gt;     2","2")</f>
        <v>2</v>
      </c>
      <c r="B12" s="135" t="s">
        <v>139</v>
      </c>
      <c r="C12" s="114">
        <v>40355</v>
      </c>
      <c r="D12" s="115">
        <v>0.8541666666666666</v>
      </c>
      <c r="E12" s="117">
        <f>IF(OR(C12="",D12="",C12&lt;$L$5),"",IF(C12=$L$5,IF(AND(D12&lt;=$S$27,$S$27&lt;=(D12+0.08333333333)),"em jogo",IF($S$27&lt;D12,"hoje!","finalizado")),IF($L$4&gt;C12,"finalizado","")))</f>
      </c>
      <c r="F12" s="143"/>
      <c r="G12" s="88"/>
      <c r="H12" s="89"/>
      <c r="I12" s="90"/>
      <c r="J12" s="144" t="str">
        <f>IF(OR(F11="",F13="",AND(F11=F13,OR(G11="",G13=""))),"OF2",IF(F11=F13,IF(G11&gt;G13,E11,E13),IF(F11&gt;F13,E11,E13)))</f>
        <v>OF2</v>
      </c>
      <c r="K12" s="189"/>
      <c r="L12" s="60"/>
      <c r="M12" s="60"/>
      <c r="N12" s="60"/>
      <c r="O12" s="60"/>
      <c r="P12" s="60" t="s">
        <v>17</v>
      </c>
      <c r="Q12" s="60">
        <f>SUM('- G -'!$H$17:$H$20)</f>
        <v>0</v>
      </c>
      <c r="R12" s="60"/>
      <c r="S12" s="60"/>
      <c r="T12" s="60"/>
      <c r="U12" s="60"/>
      <c r="V12" s="60"/>
      <c r="W12" s="60"/>
      <c r="X12" s="60"/>
    </row>
    <row r="13" spans="1:24" ht="12" customHeight="1">
      <c r="A13" s="61"/>
      <c r="B13" s="136"/>
      <c r="C13" s="59"/>
      <c r="D13" s="59"/>
      <c r="E13" s="141" t="str">
        <f>IF('- D -'!H18=0,"2do Grupo D",'- D -'!G18)</f>
        <v>2do Grupo D</v>
      </c>
      <c r="F13" s="142"/>
      <c r="G13" s="55"/>
      <c r="H13" s="92"/>
      <c r="I13" s="59"/>
      <c r="J13" s="59"/>
      <c r="K13" s="60"/>
      <c r="L13" s="60"/>
      <c r="M13" s="60"/>
      <c r="N13" s="60"/>
      <c r="O13" s="60"/>
      <c r="P13" s="60" t="s">
        <v>37</v>
      </c>
      <c r="Q13" s="60">
        <f>SUM('- H -'!$H$17:$H$20)</f>
        <v>0</v>
      </c>
      <c r="R13" s="60"/>
      <c r="S13" s="60"/>
      <c r="T13" s="60"/>
      <c r="U13" s="60"/>
      <c r="V13" s="60"/>
      <c r="W13" s="60"/>
      <c r="X13" s="60"/>
    </row>
    <row r="14" spans="1:24" ht="15" customHeight="1">
      <c r="A14" s="61"/>
      <c r="B14" s="136"/>
      <c r="C14" s="59"/>
      <c r="D14" s="59"/>
      <c r="E14" s="59"/>
      <c r="F14" s="143"/>
      <c r="G14" s="59"/>
      <c r="H14" s="59"/>
      <c r="I14" s="59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2" customHeight="1">
      <c r="A15" s="61"/>
      <c r="B15" s="136"/>
      <c r="C15" s="59"/>
      <c r="D15" s="59"/>
      <c r="E15" s="141" t="str">
        <f>IF('- B -'!H17=0,"1ero Grupo B",'- B -'!G17)</f>
        <v>1ero Grupo B</v>
      </c>
      <c r="F15" s="142"/>
      <c r="G15" s="54"/>
      <c r="H15" s="83"/>
      <c r="I15" s="59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2" customHeight="1">
      <c r="A16" s="113" t="str">
        <f>IF(OR(E16="en juego",E16="hoy!",E16="finalizado"),"  -&gt;     3","3")</f>
        <v>3</v>
      </c>
      <c r="B16" s="135" t="s">
        <v>124</v>
      </c>
      <c r="C16" s="114">
        <v>40356</v>
      </c>
      <c r="D16" s="115">
        <v>0.8541666666666666</v>
      </c>
      <c r="E16" s="117">
        <f>IF(OR(C16="",D16="",C16&lt;$L$5),"",IF(C16=$L$5,IF(AND(D16&lt;=$S$27,$S$27&lt;=(D16+0.08333333333)),"em jogo",IF($S$27&lt;D16,"hoje!","finalizado")),IF($L$4&gt;C16,"finalizado","")))</f>
      </c>
      <c r="F16" s="143"/>
      <c r="G16" s="88"/>
      <c r="H16" s="89"/>
      <c r="I16" s="90"/>
      <c r="J16" s="144" t="str">
        <f>IF(OR(F15="",F17="",AND(F15=F17,OR(G15="",G17=""))),"OF3",IF(F15=F17,IF(G15&gt;G17,E15,E17),IF(F15&gt;F17,E15,E17)))</f>
        <v>OF3</v>
      </c>
      <c r="K16" s="18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2" customHeight="1">
      <c r="A17" s="61"/>
      <c r="B17" s="136"/>
      <c r="C17" s="59"/>
      <c r="D17" s="59"/>
      <c r="E17" s="141" t="str">
        <f>IF('- A -'!H18=0,"2do Grupo A",'- A -'!G18)</f>
        <v>2do Grupo A</v>
      </c>
      <c r="F17" s="142"/>
      <c r="G17" s="55"/>
      <c r="H17" s="92"/>
      <c r="I17" s="59"/>
      <c r="J17" s="59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61"/>
      <c r="B18" s="136"/>
      <c r="C18" s="59"/>
      <c r="D18" s="59"/>
      <c r="E18" s="59"/>
      <c r="F18" s="143"/>
      <c r="G18" s="59"/>
      <c r="H18" s="59"/>
      <c r="I18" s="59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2" customHeight="1">
      <c r="A19" s="61"/>
      <c r="B19" s="136"/>
      <c r="C19" s="59"/>
      <c r="D19" s="59"/>
      <c r="E19" s="141" t="str">
        <f>IF('- D -'!H17=0,"1ero Grupo D",'- D -'!G17)</f>
        <v>1ero Grupo D</v>
      </c>
      <c r="F19" s="142"/>
      <c r="G19" s="54"/>
      <c r="H19" s="83"/>
      <c r="I19" s="59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2" customHeight="1">
      <c r="A20" s="113" t="str">
        <f>IF(OR(E20="en juego",E20="hoy!",E20="finalizado"),"  -&gt;     4","4")</f>
        <v>4</v>
      </c>
      <c r="B20" s="135" t="s">
        <v>129</v>
      </c>
      <c r="C20" s="114">
        <v>40356</v>
      </c>
      <c r="D20" s="115">
        <v>0.6666666666666666</v>
      </c>
      <c r="E20" s="117">
        <f>IF(OR(C20="",D20="",C20&lt;$L$5),"",IF(C20=$L$5,IF(AND(D20&lt;=$S$27,$S$27&lt;=(D20+0.08333333333)),"em jogo",IF($S$27&lt;D20,"hoje!","finalizado")),IF($L$4&gt;C20,"finalizado","")))</f>
      </c>
      <c r="F20" s="143"/>
      <c r="G20" s="88"/>
      <c r="H20" s="89"/>
      <c r="I20" s="90"/>
      <c r="J20" s="144" t="str">
        <f>IF(OR(F19="",F21="",AND(F19=F21,OR(G19="",G21=""))),"OF4",IF(F19=F21,IF(G19&gt;G21,E19,E21),IF(F19&gt;F21,E19,E21)))</f>
        <v>OF4</v>
      </c>
      <c r="K20" s="18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2" customHeight="1">
      <c r="A21" s="61"/>
      <c r="B21" s="136"/>
      <c r="C21" s="59"/>
      <c r="D21" s="59"/>
      <c r="E21" s="141" t="str">
        <f>IF('- C -'!H18=0,"2do Grupo C",'- C -'!G18)</f>
        <v>2do Grupo C</v>
      </c>
      <c r="F21" s="142"/>
      <c r="G21" s="55"/>
      <c r="H21" s="92"/>
      <c r="I21" s="59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61"/>
      <c r="B22" s="136"/>
      <c r="C22" s="59"/>
      <c r="D22" s="59"/>
      <c r="E22" s="59"/>
      <c r="F22" s="143"/>
      <c r="G22" s="59"/>
      <c r="H22" s="59"/>
      <c r="I22" s="59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2" customHeight="1">
      <c r="A23" s="61"/>
      <c r="B23" s="136"/>
      <c r="C23" s="59"/>
      <c r="D23" s="59"/>
      <c r="E23" s="141" t="str">
        <f>IF('- E -'!H17=0,"1ero Grupo E",'- E -'!G17)</f>
        <v>1ero Grupo E</v>
      </c>
      <c r="F23" s="142"/>
      <c r="G23" s="54"/>
      <c r="H23" s="83"/>
      <c r="I23" s="59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2" customHeight="1">
      <c r="A24" s="113" t="str">
        <f>IF(OR(E24="en juego",E24="hoy!",E24="finalizado"),"  -&gt;     5","5")</f>
        <v>5</v>
      </c>
      <c r="B24" s="135" t="s">
        <v>135</v>
      </c>
      <c r="C24" s="114">
        <v>40357</v>
      </c>
      <c r="D24" s="115">
        <v>0.6666666666666666</v>
      </c>
      <c r="E24" s="117">
        <f>IF(OR(C24="",D24="",C24&lt;$L$5),"",IF(C24=$L$5,IF(AND(D24&lt;=$S$27,$S$27&lt;=(D24+0.08333333333)),"em jogo",IF($S$27&lt;D24,"hoje!","finalizado")),IF($L$4&gt;C24,"finalizado","")))</f>
      </c>
      <c r="F24" s="143"/>
      <c r="G24" s="88"/>
      <c r="H24" s="89"/>
      <c r="I24" s="90"/>
      <c r="J24" s="144" t="str">
        <f>IF(OR(F23="",F25="",AND(F23=F25,OR(G23="",G25=""))),"OF5",IF(F23=F25,IF(G23&gt;G25,E23,E25),IF(F23&gt;F25,E23,E25)))</f>
        <v>OF5</v>
      </c>
      <c r="K24" s="18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2" customHeight="1">
      <c r="A25" s="61"/>
      <c r="B25" s="136"/>
      <c r="C25" s="59"/>
      <c r="D25" s="59"/>
      <c r="E25" s="141" t="str">
        <f>IF('- F -'!H18=0,"2do Grupo F",'- F -'!G18)</f>
        <v>2do Grupo F</v>
      </c>
      <c r="F25" s="142"/>
      <c r="G25" s="55"/>
      <c r="H25" s="92"/>
      <c r="I25" s="59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2.75" hidden="1">
      <c r="A26" s="61"/>
      <c r="B26" s="136"/>
      <c r="C26" s="59"/>
      <c r="D26" s="59"/>
      <c r="E26" s="59"/>
      <c r="F26" s="143"/>
      <c r="G26" s="59"/>
      <c r="H26" s="59"/>
      <c r="I26" s="59"/>
      <c r="J26" s="59"/>
      <c r="K26" s="60"/>
      <c r="L26" s="60"/>
      <c r="M26" s="60"/>
      <c r="N26" s="60"/>
      <c r="O26" s="60"/>
      <c r="P26" s="60"/>
      <c r="Q26" s="60"/>
      <c r="R26" s="102">
        <f>HOUR(M5)</f>
        <v>13</v>
      </c>
      <c r="S26" s="102">
        <f>MINUTE(M5)</f>
        <v>23</v>
      </c>
      <c r="T26" s="60"/>
      <c r="U26" s="60"/>
      <c r="V26" s="60"/>
      <c r="W26" s="60"/>
      <c r="X26" s="60"/>
    </row>
    <row r="27" spans="1:24" ht="12.75" hidden="1">
      <c r="A27" s="61"/>
      <c r="B27" s="136"/>
      <c r="C27" s="59"/>
      <c r="D27" s="59"/>
      <c r="E27" s="59"/>
      <c r="F27" s="143"/>
      <c r="G27" s="59"/>
      <c r="H27" s="59"/>
      <c r="I27" s="59"/>
      <c r="J27" s="59"/>
      <c r="K27" s="60"/>
      <c r="L27" s="60"/>
      <c r="M27" s="60"/>
      <c r="N27" s="60"/>
      <c r="O27" s="60"/>
      <c r="P27" s="60"/>
      <c r="Q27" s="60"/>
      <c r="R27" s="102"/>
      <c r="S27" s="116">
        <f>TIME(R26,S26,0)</f>
        <v>0.5576388888888889</v>
      </c>
      <c r="T27" s="60"/>
      <c r="U27" s="60"/>
      <c r="V27" s="60"/>
      <c r="W27" s="60"/>
      <c r="X27" s="60"/>
    </row>
    <row r="28" spans="1:24" ht="15" customHeight="1">
      <c r="A28" s="61"/>
      <c r="B28" s="136"/>
      <c r="C28" s="59"/>
      <c r="D28" s="59"/>
      <c r="E28" s="59"/>
      <c r="F28" s="143"/>
      <c r="G28" s="59"/>
      <c r="H28" s="59"/>
      <c r="I28" s="59"/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2" customHeight="1">
      <c r="A29" s="61"/>
      <c r="B29" s="136"/>
      <c r="C29" s="59"/>
      <c r="D29" s="59"/>
      <c r="E29" s="141" t="str">
        <f>IF('- G -'!H17=0,"1ero Grupo G",'- G -'!G17)</f>
        <v>1ero Grupo G</v>
      </c>
      <c r="F29" s="142"/>
      <c r="G29" s="54"/>
      <c r="H29" s="83"/>
      <c r="I29" s="59"/>
      <c r="J29" s="59"/>
      <c r="K29" s="188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2" customHeight="1">
      <c r="A30" s="113" t="str">
        <f>IF(OR(E30="en juego",E30="hoy!",E30="finalizado"),"  -&gt;     6","6")</f>
        <v>6</v>
      </c>
      <c r="B30" s="135" t="s">
        <v>124</v>
      </c>
      <c r="C30" s="114">
        <v>40357</v>
      </c>
      <c r="D30" s="115">
        <v>0.8541666666666666</v>
      </c>
      <c r="E30" s="117">
        <f>IF(OR(C30="",D30="",C30&lt;$L$5),"",IF(C30=$L$5,IF(AND(D30&lt;=$S$27,$S$27&lt;=(D30+0.08333333333)),"em jogo",IF($S$27&lt;D30,"hoje!","finalizado")),IF($L$4&gt;C30,"finalizado","")))</f>
      </c>
      <c r="F30" s="143"/>
      <c r="G30" s="88"/>
      <c r="H30" s="89"/>
      <c r="I30" s="90"/>
      <c r="J30" s="144" t="str">
        <f>IF(OR(F29="",F31="",AND(F29=F31,OR(G29="",G31=""))),"OF6",IF(F29=F31,IF(G29&gt;G31,E29,E31),IF(F29&gt;F31,E29,E31)))</f>
        <v>OF6</v>
      </c>
      <c r="K30" s="18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2" customHeight="1">
      <c r="A31" s="61"/>
      <c r="B31" s="136"/>
      <c r="C31" s="59"/>
      <c r="D31" s="59"/>
      <c r="E31" s="141" t="str">
        <f>IF('- H -'!H18=0,"2do Grupo H",'- H -'!G18)</f>
        <v>2do Grupo H</v>
      </c>
      <c r="F31" s="142"/>
      <c r="G31" s="55"/>
      <c r="H31" s="92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61"/>
      <c r="B32" s="136"/>
      <c r="C32" s="59"/>
      <c r="D32" s="59"/>
      <c r="E32" s="59"/>
      <c r="F32" s="143"/>
      <c r="G32" s="59"/>
      <c r="H32" s="59"/>
      <c r="I32" s="59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2" customHeight="1">
      <c r="A33" s="61"/>
      <c r="B33" s="136"/>
      <c r="C33" s="59"/>
      <c r="D33" s="59"/>
      <c r="E33" s="141" t="str">
        <f>IF('- F -'!H17=0,"1ero Grupo F",'- F -'!G17)</f>
        <v>1ero Grupo F</v>
      </c>
      <c r="F33" s="142"/>
      <c r="G33" s="54"/>
      <c r="H33" s="83"/>
      <c r="I33" s="59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2" customHeight="1">
      <c r="A34" s="113" t="str">
        <f>IF(OR(E34="en juego",E34="hoy!",E34="finalizado"),"  -&gt;     7","7")</f>
        <v>7</v>
      </c>
      <c r="B34" s="135" t="s">
        <v>126</v>
      </c>
      <c r="C34" s="114">
        <v>40358</v>
      </c>
      <c r="D34" s="115">
        <v>0.6666666666666666</v>
      </c>
      <c r="E34" s="117">
        <f>IF(OR(C34="",D34="",C34&lt;$L$5),"",IF(C34=$L$5,IF(AND(D34&lt;=$S$27,$S$27&lt;=(D34+0.08333333333)),"em jogo",IF($S$27&lt;D34,"hoje!","finalizado")),IF($L$4&gt;C34,"finalizado","")))</f>
      </c>
      <c r="F34" s="143"/>
      <c r="G34" s="88"/>
      <c r="H34" s="89"/>
      <c r="I34" s="90"/>
      <c r="J34" s="144" t="str">
        <f>IF(OR(F33="",F35="",AND(F33=F35,OR(G33="",G35=""))),"OF7",IF(F33=F35,IF(G33&gt;G35,E33,E35),IF(F33&gt;F35,E33,E35)))</f>
        <v>OF7</v>
      </c>
      <c r="K34" s="18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2" customHeight="1">
      <c r="A35" s="61"/>
      <c r="B35" s="136"/>
      <c r="C35" s="59"/>
      <c r="D35" s="59"/>
      <c r="E35" s="141" t="str">
        <f>IF('- E -'!H18=0,"2do Grupo E",'- E -'!G18)</f>
        <v>2do Grupo E</v>
      </c>
      <c r="F35" s="142"/>
      <c r="G35" s="55"/>
      <c r="H35" s="92"/>
      <c r="I35" s="59"/>
      <c r="J35" s="59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61"/>
      <c r="B36" s="136"/>
      <c r="C36" s="59"/>
      <c r="D36" s="59"/>
      <c r="E36" s="59"/>
      <c r="F36" s="143"/>
      <c r="G36" s="59"/>
      <c r="H36" s="59"/>
      <c r="I36" s="59"/>
      <c r="J36" s="59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2" customHeight="1">
      <c r="A37" s="61"/>
      <c r="B37" s="136"/>
      <c r="C37" s="59"/>
      <c r="D37" s="59"/>
      <c r="E37" s="141" t="str">
        <f>IF('- H -'!H17=0,"1ero Grupo H",'- H -'!G17)</f>
        <v>1ero Grupo H</v>
      </c>
      <c r="F37" s="142"/>
      <c r="G37" s="54"/>
      <c r="H37" s="83"/>
      <c r="I37" s="59"/>
      <c r="J37" s="59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2" customHeight="1">
      <c r="A38" s="113" t="str">
        <f>IF(OR(E38="en juego",E38="hoy!",E38="finalizado"),"  -&gt;     8","8")</f>
        <v>8</v>
      </c>
      <c r="B38" s="135" t="s">
        <v>125</v>
      </c>
      <c r="C38" s="114">
        <v>40358</v>
      </c>
      <c r="D38" s="115">
        <v>0.8541666666666666</v>
      </c>
      <c r="E38" s="117">
        <f>IF(OR(C38="",D38="",C38&lt;$L$5),"",IF(C38=$L$5,IF(AND(D38&lt;=$S$27,$S$27&lt;=(D38+0.08333333333)),"em jogo",IF($S$27&lt;D38,"hoje!","finalizado")),IF($L$4&gt;C38,"finalizado","")))</f>
      </c>
      <c r="F38" s="143"/>
      <c r="G38" s="88"/>
      <c r="H38" s="89"/>
      <c r="I38" s="90"/>
      <c r="J38" s="144" t="str">
        <f>IF(OR(F37="",F39="",AND(F37=F39,OR(G37="",G39=""))),"OF8",IF(F37=F39,IF(G37&gt;G39,E37,E39),IF(F37&gt;F39,E37,E39)))</f>
        <v>OF8</v>
      </c>
      <c r="K38" s="18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2" customHeight="1">
      <c r="A39" s="61"/>
      <c r="B39" s="59"/>
      <c r="C39" s="59"/>
      <c r="D39" s="59"/>
      <c r="E39" s="141" t="str">
        <f>IF('- G -'!H18=0,"2do Grupo G",'- G -'!G18)</f>
        <v>2do Grupo G</v>
      </c>
      <c r="F39" s="142"/>
      <c r="G39" s="55"/>
      <c r="H39" s="92"/>
      <c r="I39" s="59"/>
      <c r="J39" s="59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62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4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</row>
    <row r="52" spans="1:24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</row>
    <row r="57" spans="1:24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</row>
    <row r="58" spans="1:2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</row>
    <row r="64" spans="1:24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1:24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  <row r="72" spans="1:24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1:24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1:24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1:24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  <row r="79" spans="1:24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1:24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  <row r="81" spans="1:24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  <row r="82" spans="1:24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1:24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1:24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1:24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1:24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  <row r="87" spans="1:24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1:24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</row>
    <row r="90" spans="1:24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</row>
    <row r="91" spans="1:24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</row>
    <row r="92" spans="1:24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1:24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1:24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1:24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</row>
    <row r="96" spans="1:24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1:24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24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1:24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1:24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1:24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1:24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1:24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1:24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1:24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1:24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4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  <row r="113" spans="1:24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</row>
    <row r="114" spans="1:24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</row>
    <row r="115" spans="1:24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  <row r="116" spans="1:24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</row>
    <row r="117" spans="1:24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</row>
    <row r="118" spans="1:24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1:24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</row>
    <row r="120" spans="1:24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  <row r="121" spans="1:24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</row>
    <row r="122" spans="1:24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  <row r="123" spans="1:24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1:24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  <row r="125" spans="1:24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1:24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  <row r="127" spans="1:24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  <row r="128" spans="1:24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  <row r="129" spans="1:24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</row>
    <row r="130" spans="1:24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  <row r="131" spans="1:24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</row>
    <row r="132" spans="1:24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1:24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1:24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  <row r="135" spans="1:24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  <row r="136" spans="1:24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  <row r="137" spans="1:24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</row>
    <row r="138" spans="1:24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  <row r="139" spans="1:24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  <row r="140" spans="1:24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  <row r="141" spans="1:24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  <row r="142" spans="1:24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</row>
    <row r="143" spans="1:24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  <row r="144" spans="1:24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</row>
    <row r="145" spans="1:24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  <row r="146" spans="1:24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  <row r="147" spans="1:24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</row>
    <row r="148" spans="1:24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  <row r="149" spans="1:24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</row>
    <row r="150" spans="1:24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</row>
    <row r="151" spans="1:24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</row>
    <row r="152" spans="1:24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</row>
    <row r="153" spans="1:24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</row>
    <row r="154" spans="1:24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  <row r="155" spans="1:24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</row>
    <row r="156" spans="1:24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  <row r="157" spans="1:24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  <row r="158" spans="1:24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  <row r="159" spans="1:24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  <row r="160" spans="1:24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</row>
    <row r="161" spans="1:24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</row>
    <row r="162" spans="1:24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</row>
    <row r="163" spans="1:24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</row>
    <row r="164" spans="1:24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</row>
    <row r="165" spans="1:24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</row>
    <row r="166" spans="1:24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</row>
    <row r="167" spans="1:24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</row>
    <row r="168" spans="1:24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  <row r="169" spans="1:24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</row>
    <row r="170" spans="1:24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</row>
    <row r="171" spans="1:24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</row>
    <row r="172" spans="1:24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</row>
    <row r="173" spans="1:24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  <row r="174" spans="1:24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</row>
    <row r="175" spans="1:24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</row>
    <row r="176" spans="1:24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</row>
    <row r="177" spans="1:24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</row>
    <row r="178" spans="1:24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</row>
    <row r="179" spans="1:24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</row>
    <row r="180" spans="1:24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</row>
    <row r="181" spans="1:24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</row>
    <row r="182" spans="1:24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</row>
    <row r="183" spans="1:24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</row>
    <row r="184" spans="1:24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  <row r="185" spans="1:24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  <row r="186" spans="1:24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  <row r="187" spans="1:24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</row>
    <row r="188" spans="1:24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</row>
    <row r="189" spans="1:24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  <row r="190" spans="1:24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</row>
    <row r="191" spans="1:24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</row>
    <row r="192" spans="1:24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  <row r="193" spans="1:24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</row>
    <row r="194" spans="1:24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</row>
    <row r="195" spans="1:24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</row>
    <row r="196" spans="1:24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</row>
    <row r="197" spans="1:24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  <row r="198" spans="1:24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</row>
    <row r="199" spans="1:24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</row>
    <row r="200" spans="1:24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</row>
    <row r="201" spans="1:24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</row>
    <row r="202" spans="1:24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</row>
    <row r="203" spans="1:24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</row>
    <row r="204" spans="1:24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</row>
    <row r="205" spans="1:24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</row>
    <row r="206" spans="1:24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</row>
    <row r="207" spans="1:24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</row>
    <row r="208" spans="1:24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</row>
    <row r="209" spans="1:24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</row>
    <row r="210" spans="1:24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</row>
    <row r="211" spans="1:24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</row>
    <row r="212" spans="1:24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</row>
    <row r="213" spans="1:24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</row>
    <row r="214" spans="1:24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</row>
    <row r="215" spans="1:24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</row>
    <row r="216" spans="1:24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</row>
    <row r="217" spans="1:24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</row>
    <row r="218" spans="1:24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</row>
    <row r="219" spans="1:24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</row>
    <row r="220" spans="1:24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</row>
    <row r="221" spans="1:24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</row>
    <row r="222" spans="1:24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</row>
    <row r="223" spans="1:24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</row>
    <row r="224" spans="1:24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</row>
    <row r="225" spans="1:24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</row>
    <row r="226" spans="1:24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</row>
    <row r="227" spans="1:24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</row>
    <row r="228" spans="1:24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</row>
    <row r="229" spans="1:24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</row>
    <row r="230" spans="1:24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</row>
    <row r="231" spans="1:24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</row>
    <row r="232" spans="1:24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</row>
    <row r="233" spans="1:24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</row>
    <row r="234" spans="1:24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</row>
    <row r="235" spans="1:24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</row>
    <row r="236" spans="1:24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</row>
    <row r="237" spans="1:24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</row>
    <row r="238" spans="1:24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</row>
    <row r="239" spans="1:24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</row>
    <row r="240" spans="1:24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</row>
    <row r="241" spans="1:24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</row>
    <row r="242" spans="1:24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</row>
    <row r="243" spans="1:24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</row>
    <row r="244" spans="1:24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</row>
    <row r="245" spans="1:24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</row>
    <row r="246" spans="1:24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</row>
    <row r="247" spans="1:24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</row>
    <row r="248" spans="1:24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</row>
    <row r="249" spans="1:24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</row>
    <row r="250" spans="1:24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</row>
    <row r="251" spans="1:24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</row>
    <row r="252" spans="1:24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</row>
    <row r="253" spans="1:24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</row>
    <row r="254" spans="1:24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</row>
    <row r="255" spans="1:24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</row>
    <row r="256" spans="1:24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</row>
    <row r="257" spans="1:24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</row>
    <row r="258" spans="1:24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</row>
    <row r="259" spans="1:24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</row>
    <row r="260" spans="1:24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</row>
    <row r="261" spans="1:24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</row>
    <row r="262" spans="1:24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</row>
    <row r="263" spans="1:24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</row>
    <row r="264" spans="1:24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</row>
    <row r="265" spans="1:24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</row>
    <row r="266" spans="1:24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</row>
    <row r="267" spans="1:24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</row>
    <row r="268" spans="1:24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</row>
    <row r="269" spans="1:24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</row>
    <row r="270" spans="1:24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</row>
    <row r="271" spans="1:24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</row>
    <row r="272" spans="1:24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</row>
    <row r="273" spans="1:24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</row>
    <row r="274" spans="1:24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</row>
    <row r="275" spans="1:24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</row>
    <row r="276" spans="1:24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</row>
    <row r="277" spans="1:24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</row>
    <row r="278" spans="1:24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</row>
    <row r="279" spans="1:24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</row>
    <row r="280" spans="1:24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</row>
    <row r="281" spans="1:24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</row>
    <row r="282" spans="1:24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</row>
    <row r="283" spans="1:24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</row>
    <row r="284" spans="1:24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</row>
    <row r="285" spans="1:24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</row>
    <row r="286" spans="1:24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</row>
    <row r="287" spans="1:24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</row>
    <row r="288" spans="1:24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</row>
    <row r="289" spans="1:24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</row>
    <row r="290" spans="1:24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</row>
    <row r="291" spans="1:24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</row>
    <row r="292" spans="1:24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</row>
    <row r="293" spans="1:24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</row>
    <row r="294" spans="1:24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</row>
    <row r="295" spans="1:24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</row>
    <row r="296" spans="1:24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</row>
    <row r="297" spans="1:24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</row>
    <row r="298" spans="1:24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</row>
    <row r="299" spans="1:24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</row>
    <row r="300" spans="1:24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</row>
    <row r="301" spans="1:24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</row>
    <row r="302" spans="1:24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</row>
    <row r="303" spans="1:24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</row>
    <row r="304" spans="1:24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</row>
    <row r="305" spans="1:24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</row>
    <row r="306" spans="1:24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</row>
    <row r="307" spans="1:24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</row>
    <row r="308" spans="1:24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</row>
    <row r="309" spans="1:24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</row>
    <row r="310" spans="1:24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</row>
    <row r="311" spans="1:24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</row>
    <row r="312" spans="1:24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</row>
    <row r="313" spans="1:24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</row>
    <row r="314" spans="1:24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</row>
    <row r="315" spans="1:24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</row>
    <row r="316" spans="1:24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</row>
    <row r="317" spans="1:24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</row>
    <row r="318" spans="1:24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</row>
    <row r="319" spans="1:24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</row>
    <row r="320" spans="1:24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</row>
    <row r="321" spans="1:24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</row>
    <row r="322" spans="1:24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</row>
    <row r="323" spans="1:24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</row>
    <row r="324" spans="1:24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</row>
    <row r="325" spans="1:24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</row>
    <row r="326" spans="1:24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</row>
    <row r="327" spans="1:24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</row>
    <row r="328" spans="1:24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</row>
    <row r="329" spans="1:24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</row>
    <row r="330" spans="1:24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</row>
    <row r="331" spans="1:24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</row>
    <row r="332" spans="1:24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</row>
    <row r="333" spans="1:24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</row>
    <row r="334" spans="1:24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</row>
    <row r="335" spans="1:24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</row>
    <row r="336" spans="1:24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</row>
    <row r="337" spans="1:24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</row>
    <row r="338" spans="1:24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</row>
    <row r="339" spans="1:24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</row>
    <row r="340" spans="1:24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</row>
    <row r="341" spans="1:24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</row>
    <row r="342" spans="1:24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</row>
    <row r="343" spans="1:24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</row>
    <row r="344" spans="1:24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</row>
    <row r="345" spans="1:24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</row>
    <row r="346" spans="1:24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</row>
    <row r="347" spans="1:24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</row>
    <row r="348" spans="1:24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</row>
    <row r="349" spans="1:24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</row>
    <row r="350" spans="1:24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</row>
    <row r="351" spans="1:24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</row>
    <row r="352" spans="1:24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</row>
    <row r="353" spans="1:24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</row>
    <row r="354" spans="1:24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</row>
    <row r="355" spans="1:24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</row>
    <row r="356" spans="1:24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</row>
    <row r="357" spans="1:24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</row>
    <row r="358" spans="1:24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</row>
    <row r="359" spans="1:24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</row>
    <row r="360" spans="1:24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</row>
    <row r="361" spans="1:24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</row>
    <row r="362" spans="1:24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</row>
    <row r="363" spans="1:24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</row>
    <row r="364" spans="1:24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</row>
    <row r="365" spans="1:24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</row>
    <row r="366" spans="1:24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</row>
    <row r="367" spans="1:24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</row>
    <row r="368" spans="1:24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</row>
    <row r="369" spans="1:24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</row>
    <row r="370" spans="1:24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</row>
    <row r="371" spans="1:24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</row>
    <row r="372" spans="1:24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</row>
    <row r="373" spans="1:24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</row>
    <row r="374" spans="1:24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</row>
    <row r="375" spans="1:24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</row>
    <row r="376" spans="1:24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</row>
    <row r="377" spans="1:24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</row>
    <row r="378" spans="1:24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</row>
    <row r="379" spans="1:24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</row>
    <row r="380" spans="1:24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</row>
    <row r="381" spans="1:24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</row>
    <row r="382" spans="1:24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</row>
    <row r="383" spans="1:24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</row>
    <row r="384" spans="1:24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</row>
    <row r="385" spans="1:24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</row>
    <row r="386" spans="1:24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</row>
    <row r="387" spans="1:24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</row>
    <row r="388" spans="1:24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</row>
    <row r="389" spans="1:24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</row>
    <row r="390" spans="1:24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</row>
    <row r="391" spans="1:24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</row>
    <row r="392" spans="1:24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</row>
    <row r="393" spans="1:24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</row>
    <row r="394" spans="1:24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</row>
    <row r="395" spans="1:24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</row>
    <row r="396" spans="1:24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</row>
    <row r="397" spans="1:24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</row>
    <row r="398" spans="1:24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</row>
    <row r="399" spans="1:24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</row>
    <row r="400" spans="1:24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</row>
    <row r="401" spans="1:24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</row>
    <row r="402" spans="1:24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</row>
    <row r="403" spans="1:24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</row>
    <row r="404" spans="1:24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</row>
    <row r="405" spans="1:24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</row>
    <row r="406" spans="1:24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</row>
    <row r="407" spans="1:24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</row>
    <row r="408" spans="1:24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</row>
    <row r="409" spans="1:24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</row>
    <row r="410" spans="1:24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</row>
    <row r="411" spans="1:24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</row>
    <row r="412" spans="1:24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</row>
    <row r="413" spans="1:24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</row>
    <row r="414" spans="1:24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</row>
    <row r="415" spans="1:24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</row>
    <row r="416" spans="1:24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</row>
    <row r="417" spans="1:24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</row>
    <row r="418" spans="1:24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</row>
    <row r="419" spans="1:24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</row>
    <row r="420" spans="1:24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</row>
    <row r="421" spans="1:24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</row>
    <row r="422" spans="1:24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</row>
    <row r="423" spans="1:24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</row>
    <row r="424" spans="1:24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</row>
    <row r="425" spans="1:24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</row>
    <row r="426" spans="1:24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</row>
    <row r="427" spans="1:24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</row>
    <row r="428" spans="1:24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</row>
    <row r="429" spans="1:24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</row>
    <row r="430" spans="1:24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</row>
    <row r="431" spans="1:24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</row>
    <row r="432" spans="1:24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</row>
    <row r="433" spans="1:24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</row>
    <row r="434" spans="1:24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</row>
    <row r="435" spans="1:24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</row>
    <row r="436" spans="1:24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</row>
    <row r="437" spans="1:24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</row>
    <row r="438" spans="1:24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</row>
    <row r="439" spans="1:24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</row>
    <row r="440" spans="1:24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</row>
    <row r="441" spans="1:24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</row>
    <row r="442" spans="1:24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</row>
    <row r="443" spans="1:24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</row>
    <row r="444" spans="1:24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</row>
    <row r="445" spans="1:24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</row>
    <row r="446" spans="1:24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</row>
    <row r="447" spans="1:24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</row>
    <row r="448" spans="1:24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</row>
    <row r="449" spans="1:24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</row>
    <row r="450" spans="1:24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</row>
    <row r="451" spans="1:24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</row>
    <row r="452" spans="1:24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</row>
    <row r="453" spans="1:24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</row>
    <row r="454" spans="1:24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</row>
    <row r="455" spans="1:24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</row>
    <row r="456" spans="1:24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</row>
    <row r="457" spans="1:24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</row>
    <row r="458" spans="1:24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</row>
    <row r="459" spans="1:24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</row>
    <row r="460" spans="1:24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</row>
    <row r="461" spans="1:24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</row>
    <row r="462" spans="1:24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</row>
    <row r="463" spans="1:24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</row>
    <row r="464" spans="1:24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</row>
    <row r="465" spans="1:24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</row>
    <row r="466" spans="1:24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</row>
    <row r="467" spans="1:24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</row>
    <row r="468" spans="1:24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</row>
    <row r="469" spans="1:24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</row>
    <row r="470" spans="1:24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</row>
    <row r="471" spans="1:24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</row>
    <row r="472" spans="1:24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</row>
    <row r="473" spans="1:24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</row>
    <row r="474" spans="1:24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</row>
    <row r="475" spans="1:24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</row>
    <row r="476" spans="1:24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</row>
    <row r="477" spans="1:24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</row>
    <row r="478" spans="1:24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</row>
    <row r="479" spans="1:24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</row>
    <row r="480" spans="1:24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</row>
    <row r="481" spans="1:24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</row>
    <row r="482" spans="1:24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</row>
    <row r="483" spans="1:24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</row>
    <row r="484" spans="1:24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</row>
    <row r="485" spans="1:24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</row>
    <row r="486" spans="1:24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</row>
    <row r="487" spans="1:24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</row>
    <row r="488" spans="1:24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</row>
    <row r="489" spans="1:24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</row>
    <row r="490" spans="1:24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</row>
    <row r="491" spans="1:24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</row>
    <row r="492" spans="1:24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</row>
    <row r="493" spans="1:24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</row>
    <row r="494" spans="1:24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</row>
    <row r="495" spans="1:24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</row>
    <row r="496" spans="1:24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</row>
    <row r="497" spans="1:24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</row>
    <row r="498" spans="1:24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</row>
    <row r="499" spans="1:24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</row>
    <row r="500" spans="1:24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</row>
    <row r="501" spans="1:24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</row>
    <row r="502" spans="1:24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</row>
    <row r="503" spans="1:24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</row>
    <row r="504" spans="1:24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</row>
    <row r="505" spans="1:24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</row>
    <row r="506" spans="1:24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</row>
    <row r="507" spans="1:24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</row>
    <row r="508" spans="1:24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</row>
    <row r="509" spans="1:24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</row>
    <row r="510" spans="1:24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</row>
    <row r="511" spans="1:24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</row>
    <row r="512" spans="1:24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</row>
    <row r="513" spans="1:24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</row>
    <row r="514" spans="1:24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</row>
    <row r="515" spans="1:24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</row>
    <row r="516" spans="1:24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</row>
    <row r="517" spans="1:24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</row>
    <row r="518" spans="1:24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</row>
    <row r="519" spans="1:24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</row>
    <row r="520" spans="1:24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</row>
    <row r="521" spans="1:24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</row>
    <row r="522" spans="1:24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</row>
    <row r="523" spans="1:24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</row>
    <row r="524" spans="1:24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</row>
    <row r="525" spans="1:24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</row>
    <row r="526" spans="1:24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</row>
    <row r="527" spans="1:24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</row>
    <row r="528" spans="1:24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</row>
    <row r="529" spans="1:24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</row>
    <row r="530" spans="1:24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</row>
    <row r="531" spans="1:24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</row>
    <row r="532" spans="1:24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</row>
    <row r="533" spans="1:24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</row>
    <row r="534" spans="1:24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</row>
    <row r="535" spans="1:24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</row>
    <row r="536" spans="1:24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</row>
    <row r="537" spans="1:24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</row>
    <row r="538" spans="1:24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</row>
    <row r="539" spans="1:24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</row>
    <row r="540" spans="1:24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</row>
    <row r="541" spans="1:24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</row>
    <row r="542" spans="1:24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</row>
    <row r="543" spans="1:24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</row>
    <row r="544" spans="1:24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</row>
    <row r="545" spans="1:24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</row>
    <row r="546" spans="1:24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</row>
    <row r="547" spans="1:24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</row>
    <row r="548" spans="1:24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</row>
    <row r="549" spans="1:24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</row>
    <row r="550" spans="1:24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</row>
    <row r="551" spans="1:24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</row>
    <row r="552" spans="1:24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</row>
    <row r="553" spans="1:24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</row>
    <row r="554" spans="1:24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</row>
    <row r="555" spans="1:24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</row>
    <row r="556" spans="1:24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</row>
    <row r="557" spans="1:24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</row>
    <row r="558" spans="1:24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</row>
    <row r="559" spans="1:24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</row>
    <row r="560" spans="1:24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</row>
    <row r="561" spans="1:24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</row>
    <row r="562" spans="1:24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</row>
    <row r="563" spans="1:24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</row>
    <row r="564" spans="1:24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</row>
    <row r="565" spans="1:24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</row>
    <row r="566" spans="1:24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</row>
    <row r="567" spans="1:24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</row>
    <row r="568" spans="1:24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</row>
    <row r="569" spans="1:24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</row>
    <row r="570" spans="1:24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</row>
    <row r="571" spans="1:24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</row>
    <row r="572" spans="1:24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</row>
    <row r="573" spans="1:24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</row>
    <row r="574" spans="1:24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</row>
    <row r="575" spans="1:24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</row>
    <row r="576" spans="1:24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</row>
  </sheetData>
  <sheetProtection password="C826" sheet="1"/>
  <mergeCells count="4">
    <mergeCell ref="E5:F5"/>
    <mergeCell ref="B5:D5"/>
    <mergeCell ref="G5:H5"/>
    <mergeCell ref="A1:O2"/>
  </mergeCells>
  <conditionalFormatting sqref="G7 G9">
    <cfRule type="expression" priority="1" dxfId="97" stopIfTrue="1">
      <formula>IF(AND($F$7=$F$9,$F$7&lt;&gt;"",$F$9&lt;&gt;""),1,0)</formula>
    </cfRule>
  </conditionalFormatting>
  <conditionalFormatting sqref="G11 G13">
    <cfRule type="expression" priority="2" dxfId="97" stopIfTrue="1">
      <formula>IF(AND($F$11=$F$13,$F$11&lt;&gt;"",$F$13&lt;&gt;""),1,0)</formula>
    </cfRule>
  </conditionalFormatting>
  <conditionalFormatting sqref="G15 G17">
    <cfRule type="expression" priority="3" dxfId="97" stopIfTrue="1">
      <formula>IF(AND($F$15=$F$17,$F$15&lt;&gt;"",$F$17&lt;&gt;""),1,0)</formula>
    </cfRule>
  </conditionalFormatting>
  <conditionalFormatting sqref="G19 G21">
    <cfRule type="expression" priority="4" dxfId="97" stopIfTrue="1">
      <formula>IF(AND($F$19=$F$21,$F$19&lt;&gt;"",$F$21&lt;&gt;""),1,0)</formula>
    </cfRule>
  </conditionalFormatting>
  <conditionalFormatting sqref="G25 G23">
    <cfRule type="expression" priority="5" dxfId="97" stopIfTrue="1">
      <formula>IF(AND($F$23=$F$25,$F$23&lt;&gt;"",$F$25&lt;&gt;""),1,0)</formula>
    </cfRule>
  </conditionalFormatting>
  <conditionalFormatting sqref="G29 G31">
    <cfRule type="expression" priority="6" dxfId="97" stopIfTrue="1">
      <formula>IF(AND($F$29=$F$31,$F$29&lt;&gt;"",$F$31&lt;&gt;""),1,0)</formula>
    </cfRule>
  </conditionalFormatting>
  <conditionalFormatting sqref="G33 G35">
    <cfRule type="expression" priority="7" dxfId="97" stopIfTrue="1">
      <formula>IF(AND($F$33=$F$35,$F$33&lt;&gt;"",$F$35&lt;&gt;""),1,0)</formula>
    </cfRule>
  </conditionalFormatting>
  <conditionalFormatting sqref="G37 G39">
    <cfRule type="expression" priority="8" dxfId="97" stopIfTrue="1">
      <formula>IF(AND($F$37=$F$39,$F$37&lt;&gt;"",$F$39&lt;&gt;""),1,0)</formula>
    </cfRule>
  </conditionalFormatting>
  <conditionalFormatting sqref="A8:E8 C11:C12 D16 D24 D34">
    <cfRule type="expression" priority="9" dxfId="0" stopIfTrue="1">
      <formula>IF(OR($E$8="en juego",$E$8="hoy!"),1,0)</formula>
    </cfRule>
  </conditionalFormatting>
  <conditionalFormatting sqref="A38:B38 E38">
    <cfRule type="expression" priority="10" dxfId="0" stopIfTrue="1">
      <formula>IF(OR($E$38="en juego",$E$38="hoy!"),1,0)</formula>
    </cfRule>
  </conditionalFormatting>
  <conditionalFormatting sqref="C38 A34:C34 E34">
    <cfRule type="expression" priority="11" dxfId="0" stopIfTrue="1">
      <formula>IF(OR($E$34="en juego",$E$34="hoy!"),1,0)</formula>
    </cfRule>
  </conditionalFormatting>
  <conditionalFormatting sqref="A30:B30 E30">
    <cfRule type="expression" priority="12" dxfId="0" stopIfTrue="1">
      <formula>IF(OR($E$30="en juego",$E$30="hoy!"),1,0)</formula>
    </cfRule>
  </conditionalFormatting>
  <conditionalFormatting sqref="C30 A24:C24 E24">
    <cfRule type="expression" priority="13" dxfId="0" stopIfTrue="1">
      <formula>IF(OR($E$24="en juego",$E$24="hoy!"),1,0)</formula>
    </cfRule>
  </conditionalFormatting>
  <conditionalFormatting sqref="A20:B20 E20">
    <cfRule type="expression" priority="14" dxfId="0" stopIfTrue="1">
      <formula>IF(OR($E$20="en juego",$E$20="hoy!"),1,0)</formula>
    </cfRule>
  </conditionalFormatting>
  <conditionalFormatting sqref="C20 A16:C16 E16">
    <cfRule type="expression" priority="15" dxfId="0" stopIfTrue="1">
      <formula>IF(OR($E$16="en juego",$E$16="hoy!"),1,0)</formula>
    </cfRule>
  </conditionalFormatting>
  <conditionalFormatting sqref="A12:B12 D12:E12 D20 D30 D38">
    <cfRule type="expression" priority="16" dxfId="0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&#10;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5" location="Principal!A1" display="Menu Principal"/>
  </hyperlink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F21" sqref="F21"/>
    </sheetView>
  </sheetViews>
  <sheetFormatPr defaultColWidth="11.421875" defaultRowHeight="12.75"/>
  <cols>
    <col min="1" max="1" width="2.140625" style="33" bestFit="1" customWidth="1"/>
    <col min="2" max="2" width="14.7109375" style="33" customWidth="1"/>
    <col min="3" max="4" width="6.7109375" style="33" customWidth="1"/>
    <col min="5" max="5" width="15.7109375" style="33" customWidth="1"/>
    <col min="6" max="6" width="3.7109375" style="33" customWidth="1"/>
    <col min="7" max="7" width="2.00390625" style="33" customWidth="1"/>
    <col min="8" max="8" width="6.57421875" style="33" customWidth="1"/>
    <col min="9" max="9" width="11.7109375" style="33" customWidth="1"/>
    <col min="10" max="10" width="15.7109375" style="33" customWidth="1"/>
    <col min="11" max="11" width="3.7109375" style="33" customWidth="1"/>
    <col min="12" max="12" width="7.7109375" style="33" bestFit="1" customWidth="1"/>
    <col min="13" max="13" width="5.421875" style="33" bestFit="1" customWidth="1"/>
    <col min="14" max="14" width="1.7109375" style="33" customWidth="1"/>
    <col min="15" max="16384" width="11.421875" style="33" customWidth="1"/>
  </cols>
  <sheetData>
    <row r="1" spans="1:21" s="108" customFormat="1" ht="34.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69"/>
      <c r="Q1" s="69"/>
      <c r="R1" s="69"/>
      <c r="S1" s="69"/>
      <c r="T1" s="52"/>
      <c r="U1" s="52"/>
    </row>
    <row r="2" spans="1:21" s="108" customFormat="1" ht="34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69"/>
      <c r="Q2" s="69"/>
      <c r="R2" s="69"/>
      <c r="S2" s="69"/>
      <c r="T2" s="52"/>
      <c r="U2" s="52"/>
    </row>
    <row r="3" spans="1:19" ht="15" customHeight="1">
      <c r="A3" s="60"/>
      <c r="B3" s="60"/>
      <c r="C3" s="60"/>
      <c r="D3" s="60"/>
      <c r="E3" s="72"/>
      <c r="F3" s="71"/>
      <c r="G3" s="60"/>
      <c r="H3" s="60"/>
      <c r="I3" s="60"/>
      <c r="J3" s="60"/>
      <c r="K3" s="60"/>
      <c r="L3" s="73"/>
      <c r="M3" s="74"/>
      <c r="N3" s="60"/>
      <c r="O3" s="60"/>
      <c r="P3" s="60"/>
      <c r="Q3" s="60"/>
      <c r="R3" s="60"/>
      <c r="S3" s="60"/>
    </row>
    <row r="4" spans="1:19" ht="12.75" customHeight="1">
      <c r="A4" s="60"/>
      <c r="B4" s="60"/>
      <c r="C4" s="60"/>
      <c r="D4" s="60"/>
      <c r="E4" s="68"/>
      <c r="F4" s="74"/>
      <c r="G4" s="60"/>
      <c r="H4" s="60"/>
      <c r="I4" s="60"/>
      <c r="J4" s="60"/>
      <c r="K4" s="60"/>
      <c r="L4" s="110">
        <f ca="1">TODAY()</f>
        <v>40231</v>
      </c>
      <c r="M4" s="111">
        <f ca="1">NOW()</f>
        <v>40231.558308217594</v>
      </c>
      <c r="N4" s="60"/>
      <c r="O4" s="161" t="s">
        <v>53</v>
      </c>
      <c r="P4" s="60"/>
      <c r="Q4" s="60"/>
      <c r="R4" s="60"/>
      <c r="S4" s="60"/>
    </row>
    <row r="5" spans="1:19" ht="12" customHeight="1">
      <c r="A5" s="60"/>
      <c r="B5" s="221" t="s">
        <v>98</v>
      </c>
      <c r="C5" s="221"/>
      <c r="D5" s="221"/>
      <c r="E5" s="221" t="s">
        <v>29</v>
      </c>
      <c r="F5" s="221"/>
      <c r="G5" s="222" t="s">
        <v>97</v>
      </c>
      <c r="H5" s="222"/>
      <c r="I5" s="103"/>
      <c r="J5" s="132" t="s">
        <v>101</v>
      </c>
      <c r="K5" s="60"/>
      <c r="L5" s="112"/>
      <c r="M5" s="60"/>
      <c r="N5" s="60"/>
      <c r="O5" s="60"/>
      <c r="P5" s="60"/>
      <c r="Q5" s="60"/>
      <c r="R5" s="60"/>
      <c r="S5" s="60"/>
    </row>
    <row r="6" spans="1:19" ht="12" customHeight="1">
      <c r="A6" s="57"/>
      <c r="B6" s="58"/>
      <c r="C6" s="58"/>
      <c r="D6" s="58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/>
      <c r="Q6" s="60"/>
      <c r="R6" s="60"/>
      <c r="S6" s="60"/>
    </row>
    <row r="7" spans="1:19" ht="14.25" customHeight="1">
      <c r="A7" s="57"/>
      <c r="B7" s="58"/>
      <c r="C7" s="58"/>
      <c r="D7" s="58"/>
      <c r="E7" s="190" t="str">
        <f>'Oitavas de Final'!J8</f>
        <v>OF1</v>
      </c>
      <c r="F7" s="146"/>
      <c r="G7" s="63"/>
      <c r="H7" s="83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</row>
    <row r="8" spans="1:19" ht="14.25" customHeight="1">
      <c r="A8" s="85" t="str">
        <f>IF(OR(E8="en juego",E8="hoy!",E8="finalizado"),"  -&gt;     A","A")</f>
        <v>A</v>
      </c>
      <c r="B8" s="137" t="s">
        <v>124</v>
      </c>
      <c r="C8" s="86">
        <v>40361</v>
      </c>
      <c r="D8" s="87">
        <v>0.8541666666666666</v>
      </c>
      <c r="E8" s="147">
        <f>IF(OR(C8="",D8="",C8&lt;$L$4),"",IF(C8=$L$4,IF(AND(D8&lt;=$S$24,$S$24&lt;=(D8+0.08333333333)),"em jogo",IF($S$24&lt;D8,"hoje!","finalizado")),IF($L$4&gt;C8,"finalizado","")))</f>
      </c>
      <c r="F8" s="148"/>
      <c r="G8" s="88"/>
      <c r="H8" s="89"/>
      <c r="I8" s="90"/>
      <c r="J8" s="150" t="str">
        <f>IF(OR(F7="",F9="",AND(F7=F9,OR(G7="",G9=""))),"CF1",IF(F7=F9,IF(G7&gt;G9,E7,E9),IF(F7&gt;F9,E7,E9)))</f>
        <v>CF1</v>
      </c>
      <c r="K8" s="189"/>
      <c r="L8" s="60"/>
      <c r="M8" s="60"/>
      <c r="N8" s="60"/>
      <c r="O8" s="60"/>
      <c r="P8" s="60"/>
      <c r="Q8" s="60"/>
      <c r="R8" s="60"/>
      <c r="S8" s="60"/>
    </row>
    <row r="9" spans="1:19" ht="14.25" customHeight="1">
      <c r="A9" s="57"/>
      <c r="B9" s="138"/>
      <c r="C9" s="58"/>
      <c r="D9" s="58"/>
      <c r="E9" s="190" t="str">
        <f>'Oitavas de Final'!J12</f>
        <v>OF2</v>
      </c>
      <c r="F9" s="146"/>
      <c r="G9" s="64"/>
      <c r="H9" s="92"/>
      <c r="I9" s="59"/>
      <c r="J9" s="59"/>
      <c r="K9" s="60"/>
      <c r="L9" s="60"/>
      <c r="M9" s="60"/>
      <c r="N9" s="60"/>
      <c r="O9" s="60"/>
      <c r="P9" s="60"/>
      <c r="Q9" s="60"/>
      <c r="R9" s="60"/>
      <c r="S9" s="60"/>
    </row>
    <row r="10" spans="1:19" ht="15" customHeight="1">
      <c r="A10" s="57"/>
      <c r="B10" s="138"/>
      <c r="C10" s="58"/>
      <c r="D10" s="58"/>
      <c r="E10" s="149"/>
      <c r="F10" s="148"/>
      <c r="G10" s="59"/>
      <c r="H10" s="59"/>
      <c r="I10" s="59"/>
      <c r="J10" s="59"/>
      <c r="K10" s="60"/>
      <c r="L10" s="60"/>
      <c r="M10" s="60"/>
      <c r="N10" s="60"/>
      <c r="O10" s="60"/>
      <c r="P10" s="60"/>
      <c r="Q10" s="60"/>
      <c r="R10" s="60"/>
      <c r="S10" s="60"/>
    </row>
    <row r="11" spans="1:19" ht="14.25" customHeight="1">
      <c r="A11" s="57"/>
      <c r="B11" s="138"/>
      <c r="C11" s="58"/>
      <c r="D11" s="58"/>
      <c r="E11" s="190" t="str">
        <f>'Oitavas de Final'!J24</f>
        <v>OF5</v>
      </c>
      <c r="F11" s="146"/>
      <c r="G11" s="63"/>
      <c r="H11" s="83"/>
      <c r="I11" s="59"/>
      <c r="J11" s="59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14.25" customHeight="1">
      <c r="A12" s="85" t="str">
        <f>IF(OR(E12="en juego",E12="hoy!",E12="finalizado"),"  -&gt;     B","B")</f>
        <v>B</v>
      </c>
      <c r="B12" s="137" t="s">
        <v>134</v>
      </c>
      <c r="C12" s="86">
        <v>40361</v>
      </c>
      <c r="D12" s="87">
        <v>0.6666666666666666</v>
      </c>
      <c r="E12" s="147">
        <f>IF(OR(C12="",D12="",C12&lt;$L$4),"",IF(C12=$L$4,IF(AND(D12&lt;=$S$24,$S$24&lt;=(D12+0.08333333333)),"em jogo",IF($S$24&lt;D12,"hoje!","finalizado")),IF($L$4&gt;C12,"finalizado","")))</f>
      </c>
      <c r="F12" s="148"/>
      <c r="G12" s="88"/>
      <c r="H12" s="89"/>
      <c r="I12" s="90"/>
      <c r="J12" s="150" t="str">
        <f>IF(OR(F11="",F13="",AND(F11=F13,OR(G11="",G13=""))),"CF2",IF(F11=F13,IF(G11&gt;G13,E11,E13),IF(F11&gt;F13,E11,E13)))</f>
        <v>CF2</v>
      </c>
      <c r="K12" s="189"/>
      <c r="L12" s="60"/>
      <c r="M12" s="60"/>
      <c r="N12" s="60"/>
      <c r="O12" s="60"/>
      <c r="P12" s="60"/>
      <c r="Q12" s="60"/>
      <c r="R12" s="60"/>
      <c r="S12" s="60"/>
    </row>
    <row r="13" spans="1:19" ht="14.25" customHeight="1">
      <c r="A13" s="57"/>
      <c r="B13" s="138"/>
      <c r="C13" s="58"/>
      <c r="D13" s="58"/>
      <c r="E13" s="190" t="str">
        <f>'Oitavas de Final'!J30</f>
        <v>OF6</v>
      </c>
      <c r="F13" s="146"/>
      <c r="G13" s="64"/>
      <c r="H13" s="92"/>
      <c r="I13" s="59"/>
      <c r="J13" s="59"/>
      <c r="K13" s="60"/>
      <c r="L13" s="60"/>
      <c r="M13" s="60"/>
      <c r="N13" s="60"/>
      <c r="O13" s="60"/>
      <c r="P13" s="60"/>
      <c r="Q13" s="60"/>
      <c r="R13" s="60"/>
      <c r="S13" s="60"/>
    </row>
    <row r="14" spans="1:19" ht="15" customHeight="1">
      <c r="A14" s="57"/>
      <c r="B14" s="138"/>
      <c r="C14" s="58"/>
      <c r="D14" s="58"/>
      <c r="E14" s="149"/>
      <c r="F14" s="148"/>
      <c r="G14" s="59"/>
      <c r="H14" s="59"/>
      <c r="I14" s="59"/>
      <c r="J14" s="59"/>
      <c r="K14" s="60"/>
      <c r="L14" s="60"/>
      <c r="M14" s="60"/>
      <c r="N14" s="60"/>
      <c r="O14" s="60"/>
      <c r="P14" s="60"/>
      <c r="Q14" s="60"/>
      <c r="R14" s="60"/>
      <c r="S14" s="60"/>
    </row>
    <row r="15" spans="1:19" ht="14.25" customHeight="1">
      <c r="A15" s="57"/>
      <c r="B15" s="138"/>
      <c r="C15" s="58"/>
      <c r="D15" s="58"/>
      <c r="E15" s="190" t="str">
        <f>'Oitavas de Final'!J16</f>
        <v>OF3</v>
      </c>
      <c r="F15" s="146"/>
      <c r="G15" s="63"/>
      <c r="H15" s="83"/>
      <c r="I15" s="59"/>
      <c r="J15" s="59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4.25" customHeight="1">
      <c r="A16" s="85" t="str">
        <f>IF(OR(E16="en juego",E16="hoy!",E16="finalizado"),"  -&gt;     C","C")</f>
        <v>C</v>
      </c>
      <c r="B16" s="137" t="s">
        <v>125</v>
      </c>
      <c r="C16" s="86">
        <v>40362</v>
      </c>
      <c r="D16" s="87">
        <v>0.6666666666666666</v>
      </c>
      <c r="E16" s="147">
        <f>IF(OR(C16="",D16="",C16&lt;$L$4),"",IF(C16=$L$4,IF(AND(D16&lt;=$S$24,$S$24&lt;=(D16+0.08333333333)),"em jogo",IF($S$24&lt;D16,"hoje!","finalizado")),IF($L$4&gt;C16,"finalizado","")))</f>
      </c>
      <c r="F16" s="148"/>
      <c r="G16" s="88"/>
      <c r="H16" s="89"/>
      <c r="I16" s="90"/>
      <c r="J16" s="150" t="str">
        <f>IF(OR(F15="",F17="",AND(F15=F17,OR(G15="",G17=""))),"CF3",IF(F15=F17,IF(G15&gt;G17,E15,E17),IF(F15&gt;F17,E15,E17)))</f>
        <v>CF3</v>
      </c>
      <c r="K16" s="189"/>
      <c r="L16" s="60"/>
      <c r="M16" s="60"/>
      <c r="N16" s="60"/>
      <c r="O16" s="60"/>
      <c r="P16" s="60"/>
      <c r="Q16" s="60"/>
      <c r="R16" s="60"/>
      <c r="S16" s="60"/>
    </row>
    <row r="17" spans="1:19" ht="14.25" customHeight="1">
      <c r="A17" s="57"/>
      <c r="B17" s="138"/>
      <c r="C17" s="58"/>
      <c r="D17" s="58"/>
      <c r="E17" s="190" t="str">
        <f>'Oitavas de Final'!J20</f>
        <v>OF4</v>
      </c>
      <c r="F17" s="146"/>
      <c r="G17" s="64"/>
      <c r="H17" s="92"/>
      <c r="I17" s="59"/>
      <c r="J17" s="59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15" customHeight="1">
      <c r="A18" s="57"/>
      <c r="B18" s="138"/>
      <c r="C18" s="58"/>
      <c r="D18" s="58"/>
      <c r="E18" s="149"/>
      <c r="F18" s="148"/>
      <c r="G18" s="59"/>
      <c r="H18" s="59"/>
      <c r="I18" s="59"/>
      <c r="J18" s="59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4.25" customHeight="1">
      <c r="A19" s="57"/>
      <c r="B19" s="138"/>
      <c r="C19" s="58"/>
      <c r="D19" s="58"/>
      <c r="E19" s="190" t="str">
        <f>'Oitavas de Final'!J34</f>
        <v>OF7</v>
      </c>
      <c r="F19" s="146"/>
      <c r="G19" s="63"/>
      <c r="H19" s="83"/>
      <c r="I19" s="59"/>
      <c r="J19" s="59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4.25" customHeight="1">
      <c r="A20" s="85" t="str">
        <f>IF(OR(E20="en juego",E20="hoy!",E20="finalizado"),"  -&gt;     D","D")</f>
        <v>D</v>
      </c>
      <c r="B20" s="137" t="s">
        <v>124</v>
      </c>
      <c r="C20" s="86">
        <v>40362</v>
      </c>
      <c r="D20" s="87">
        <v>0.8541666666666666</v>
      </c>
      <c r="E20" s="147">
        <f>IF(OR(C20="",D20="",C20&lt;$L$4),"",IF(C20=$L$4,IF(AND(D20&lt;=$S$24,$S$24&lt;=(D20+0.08333333333)),"em jogo",IF($S$24&lt;D20,"hoje!","finalizado")),IF($L$4&gt;C20,"finalizado","")))</f>
      </c>
      <c r="F20" s="148"/>
      <c r="G20" s="88"/>
      <c r="H20" s="89"/>
      <c r="I20" s="90"/>
      <c r="J20" s="150" t="str">
        <f>IF(OR(F19="",F21="",AND(F19=F21,OR(G19="",G21=""))),"CF4",IF(F19=F21,IF(G19&gt;G21,E19,E21),IF(F19&gt;F21,E19,E21)))</f>
        <v>CF4</v>
      </c>
      <c r="K20" s="189"/>
      <c r="L20" s="60"/>
      <c r="M20" s="60"/>
      <c r="N20" s="60"/>
      <c r="O20" s="60"/>
      <c r="P20" s="60"/>
      <c r="Q20" s="60"/>
      <c r="R20" s="60"/>
      <c r="S20" s="60"/>
    </row>
    <row r="21" spans="1:19" ht="14.25" customHeight="1">
      <c r="A21" s="57"/>
      <c r="B21" s="58"/>
      <c r="C21" s="58"/>
      <c r="D21" s="58"/>
      <c r="E21" s="190" t="str">
        <f>'Oitavas de Final'!J38</f>
        <v>OF8</v>
      </c>
      <c r="F21" s="146"/>
      <c r="G21" s="64"/>
      <c r="H21" s="92"/>
      <c r="I21" s="59"/>
      <c r="J21" s="59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5" customHeight="1">
      <c r="A22" s="57"/>
      <c r="B22" s="58"/>
      <c r="C22" s="58"/>
      <c r="D22" s="58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hidden="1">
      <c r="A23" s="61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0"/>
      <c r="P23" s="60"/>
      <c r="Q23" s="60"/>
      <c r="R23" s="102">
        <f>HOUR(M4)</f>
        <v>13</v>
      </c>
      <c r="S23" s="102">
        <f>MINUTE(M4)</f>
        <v>23</v>
      </c>
    </row>
    <row r="24" spans="1:19" ht="12.75" hidden="1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60"/>
      <c r="L24" s="60"/>
      <c r="M24" s="60"/>
      <c r="N24" s="60"/>
      <c r="O24" s="60"/>
      <c r="P24" s="60"/>
      <c r="Q24" s="60"/>
      <c r="R24" s="102"/>
      <c r="S24" s="116">
        <f>TIME(R23,S23,0)</f>
        <v>0.5576388888888889</v>
      </c>
    </row>
    <row r="25" spans="1:19" ht="15" customHeight="1">
      <c r="A25" s="62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19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19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:19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1:19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spans="1:19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19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1:19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1:19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</row>
    <row r="66" spans="1:19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1:19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19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19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9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1:19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19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1:19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1:19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1:19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19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19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19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</row>
    <row r="85" spans="1:19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</row>
    <row r="90" spans="1:19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1:19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</row>
    <row r="92" spans="1:19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</row>
    <row r="93" spans="1:19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</row>
    <row r="94" spans="1:19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</row>
    <row r="95" spans="1:19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1:19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spans="1:19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</row>
    <row r="98" spans="1:19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1:19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</row>
    <row r="100" spans="1:19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</row>
    <row r="101" spans="1:19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</row>
    <row r="102" spans="1:19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</row>
    <row r="103" spans="1:19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</row>
    <row r="104" spans="1:19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1:19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1:19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1:19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1:19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</row>
    <row r="109" spans="1:19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1:19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1:19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1:19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19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</row>
    <row r="114" spans="1:19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</row>
    <row r="115" spans="1:19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</row>
    <row r="116" spans="1:19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</row>
    <row r="117" spans="1:19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</row>
    <row r="118" spans="1:19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</row>
    <row r="119" spans="1:19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</row>
    <row r="120" spans="1:19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</row>
    <row r="121" spans="1:19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</row>
    <row r="122" spans="1:19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</row>
    <row r="123" spans="1:19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1:19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</row>
    <row r="125" spans="1:19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</row>
    <row r="126" spans="1:19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</row>
    <row r="127" spans="1:19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</row>
    <row r="128" spans="1:19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</row>
    <row r="129" spans="1:19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</row>
    <row r="130" spans="1:19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</row>
    <row r="131" spans="1:19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</row>
    <row r="132" spans="1:19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</row>
    <row r="133" spans="1:19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</row>
    <row r="134" spans="1:19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</row>
    <row r="135" spans="1:19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</row>
    <row r="136" spans="1:19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</row>
    <row r="137" spans="1:19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</row>
    <row r="138" spans="1:19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</row>
    <row r="139" spans="1:19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</row>
    <row r="140" spans="1:19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</row>
    <row r="141" spans="1:19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</row>
    <row r="142" spans="1:19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</row>
    <row r="143" spans="1:19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</row>
    <row r="144" spans="1:19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</row>
    <row r="145" spans="1:19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</row>
    <row r="146" spans="1:19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</row>
    <row r="147" spans="1:19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</row>
    <row r="148" spans="1:19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</row>
    <row r="149" spans="1:19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</row>
    <row r="150" spans="1:19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</row>
    <row r="151" spans="1:19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</row>
    <row r="152" spans="1:19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</row>
    <row r="153" spans="1:19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</row>
    <row r="154" spans="1:19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</row>
    <row r="155" spans="1:19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</row>
    <row r="156" spans="1:19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</row>
    <row r="157" spans="1:19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</row>
    <row r="158" spans="1:19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</row>
    <row r="159" spans="1:19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</row>
    <row r="160" spans="1:19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</row>
    <row r="161" spans="1:19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</row>
    <row r="162" spans="1:19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</row>
    <row r="163" spans="1:19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</row>
    <row r="164" spans="1:19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</row>
    <row r="165" spans="1:19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</row>
    <row r="166" spans="1:19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</row>
    <row r="167" spans="1:19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</row>
    <row r="168" spans="1:19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</row>
    <row r="169" spans="1:19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</row>
    <row r="170" spans="1:19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</row>
    <row r="171" spans="1:19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</row>
    <row r="172" spans="1:19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</row>
    <row r="173" spans="1:19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</row>
    <row r="174" spans="1:19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</row>
    <row r="175" spans="1:19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</row>
    <row r="176" spans="1:19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</row>
    <row r="177" spans="1:19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</row>
    <row r="178" spans="1:19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</row>
    <row r="179" spans="1:19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</row>
    <row r="180" spans="1:19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</row>
    <row r="181" spans="1:19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</row>
    <row r="182" spans="1:19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</row>
    <row r="183" spans="1:19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</row>
    <row r="184" spans="1:19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</row>
    <row r="185" spans="1:19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</row>
    <row r="186" spans="1:19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</row>
    <row r="187" spans="1:19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</row>
    <row r="188" spans="1:19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</row>
    <row r="189" spans="1:19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</row>
    <row r="190" spans="1:19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</row>
    <row r="191" spans="1:19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</row>
    <row r="192" spans="1:19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</row>
    <row r="193" spans="1:19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</row>
    <row r="194" spans="1:19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</row>
    <row r="195" spans="1:19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</row>
    <row r="196" spans="1:19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</row>
    <row r="197" spans="1:19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</row>
    <row r="198" spans="1:19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</row>
    <row r="199" spans="1:19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</row>
    <row r="200" spans="1:19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</row>
    <row r="201" spans="1:19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</row>
    <row r="202" spans="1:19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</row>
    <row r="203" spans="1:19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</row>
    <row r="204" spans="1:19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</row>
    <row r="205" spans="1:19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</row>
    <row r="206" spans="1:19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</row>
    <row r="207" spans="1:19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</row>
    <row r="208" spans="1:19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</row>
    <row r="209" spans="1:19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</row>
    <row r="210" spans="1:19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</row>
    <row r="211" spans="1:19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</row>
    <row r="212" spans="1:19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</row>
    <row r="213" spans="1:19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</row>
    <row r="214" spans="1:19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</row>
    <row r="215" spans="1:19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</row>
    <row r="216" spans="1:19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</row>
    <row r="217" spans="1:19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</row>
    <row r="218" spans="1:19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</row>
    <row r="219" spans="1:19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</row>
    <row r="220" spans="1:19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</row>
    <row r="221" spans="1:19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</row>
    <row r="222" spans="1:19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</row>
    <row r="223" spans="1:19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</row>
    <row r="224" spans="1:19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</row>
    <row r="225" spans="1:19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</row>
    <row r="226" spans="1:19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</row>
    <row r="227" spans="1:19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</row>
    <row r="228" spans="1:19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</row>
    <row r="229" spans="1:19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</row>
    <row r="230" spans="1:19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</row>
    <row r="231" spans="1:19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</row>
    <row r="232" spans="1:19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</row>
    <row r="233" spans="1:19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</row>
    <row r="234" spans="1:19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</row>
    <row r="235" spans="1:19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</row>
    <row r="236" spans="1:19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</row>
    <row r="237" spans="1:19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</row>
    <row r="238" spans="1:19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</row>
    <row r="239" spans="1:19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</row>
    <row r="240" spans="1:19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</row>
    <row r="241" spans="1:19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</row>
    <row r="242" spans="1:19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</row>
    <row r="243" spans="1:19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</row>
    <row r="244" spans="1:19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</row>
    <row r="245" spans="1:19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</row>
    <row r="246" spans="1:19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</row>
    <row r="247" spans="1:19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</row>
    <row r="248" spans="1:19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</row>
    <row r="249" spans="1:19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</row>
    <row r="250" spans="1:19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</row>
    <row r="251" spans="1:19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</row>
    <row r="252" spans="1:19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</row>
    <row r="253" spans="1:19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</row>
    <row r="254" spans="1:19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</row>
    <row r="255" spans="1:19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</row>
    <row r="256" spans="1:19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</row>
    <row r="257" spans="1:19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</row>
    <row r="258" spans="1:19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</row>
    <row r="259" spans="1:19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</row>
    <row r="260" spans="1:19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</row>
    <row r="261" spans="1:19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</row>
    <row r="262" spans="1:19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</row>
    <row r="263" spans="1:19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</row>
    <row r="264" spans="1:19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</row>
    <row r="265" spans="1:19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</row>
    <row r="266" spans="1:19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</row>
    <row r="267" spans="1:19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</row>
    <row r="268" spans="1:19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</row>
    <row r="269" spans="1:19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</row>
    <row r="270" spans="1:19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</row>
    <row r="271" spans="1:19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</row>
    <row r="272" spans="1:19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</row>
    <row r="273" spans="1:19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</row>
    <row r="274" spans="1:19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</row>
    <row r="275" spans="1:19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</row>
    <row r="276" spans="1:19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</row>
    <row r="277" spans="1:19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</row>
    <row r="278" spans="1:19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</row>
    <row r="279" spans="1:19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</row>
    <row r="280" spans="1:19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</row>
    <row r="281" spans="1:19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</row>
    <row r="282" spans="1:19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</row>
    <row r="283" spans="1:19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</row>
    <row r="284" spans="1:19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</row>
    <row r="285" spans="1:19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</row>
    <row r="286" spans="1:19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</row>
    <row r="287" spans="1:19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</row>
    <row r="288" spans="1:19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</row>
    <row r="289" spans="1:19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</row>
    <row r="290" spans="1:19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</row>
    <row r="291" spans="1:19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</row>
    <row r="292" spans="1:19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</row>
    <row r="293" spans="1:19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</row>
    <row r="294" spans="1:19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</row>
    <row r="295" spans="1:19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</row>
    <row r="296" spans="1:19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</row>
    <row r="297" spans="1:19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</row>
    <row r="298" spans="1:19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</row>
    <row r="299" spans="1:19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</row>
    <row r="300" spans="1:19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</row>
    <row r="301" spans="1:19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</row>
    <row r="302" spans="1:19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</row>
    <row r="303" spans="1:19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</row>
    <row r="304" spans="1:19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</row>
    <row r="305" spans="1:19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</row>
    <row r="306" spans="1:19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</row>
    <row r="307" spans="1:19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</row>
    <row r="308" spans="1:19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</row>
    <row r="309" spans="1:19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</row>
    <row r="310" spans="1:19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</row>
    <row r="311" spans="1:19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</row>
    <row r="312" spans="1:19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</row>
    <row r="313" spans="1:19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</row>
    <row r="314" spans="1:19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</row>
    <row r="315" spans="1:19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</row>
    <row r="316" spans="1:19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</row>
    <row r="317" spans="1:19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</row>
    <row r="318" spans="1:19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</row>
    <row r="319" spans="1:19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</row>
    <row r="320" spans="1:19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</row>
    <row r="321" spans="1:19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</row>
    <row r="322" spans="1:19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</row>
    <row r="323" spans="1:19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</row>
    <row r="324" spans="1:19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</row>
    <row r="325" spans="1:19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</row>
    <row r="326" spans="1:19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</row>
    <row r="327" spans="1:19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</row>
    <row r="328" spans="1:19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</row>
    <row r="329" spans="1:19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</row>
    <row r="330" spans="1:19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</row>
    <row r="331" spans="1:19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</row>
    <row r="332" spans="1:19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</row>
    <row r="333" spans="1:19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</row>
    <row r="334" spans="1:19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</row>
    <row r="335" spans="1:19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</row>
    <row r="336" spans="1:19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</row>
    <row r="337" spans="1:19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</row>
    <row r="338" spans="1:19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</row>
    <row r="339" spans="1:19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</row>
    <row r="340" spans="1:19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</row>
    <row r="341" spans="1:19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</row>
    <row r="342" spans="1:19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</row>
    <row r="343" spans="1:19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</row>
    <row r="344" spans="1:19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</row>
    <row r="345" spans="1:19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</row>
    <row r="346" spans="1:19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</row>
    <row r="347" spans="1:19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</row>
    <row r="348" spans="1:19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</row>
    <row r="349" spans="1:19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</row>
    <row r="350" spans="1:19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</row>
    <row r="351" spans="1:19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</row>
    <row r="352" spans="1:19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</row>
    <row r="353" spans="1:19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</row>
    <row r="354" spans="1:19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</row>
    <row r="355" spans="1:19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</row>
    <row r="356" spans="1:19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</row>
    <row r="357" spans="1:19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</row>
    <row r="358" spans="1:19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</row>
    <row r="359" spans="1:19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</row>
    <row r="360" spans="1:19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</row>
    <row r="361" spans="1:19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</row>
    <row r="362" spans="1:19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</row>
    <row r="363" spans="1:19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</row>
    <row r="364" spans="1:19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</row>
    <row r="365" spans="1:19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</row>
    <row r="366" spans="1:19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</row>
    <row r="367" spans="1:19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</row>
    <row r="368" spans="1:19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</row>
    <row r="369" spans="1:19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</row>
    <row r="370" spans="1:19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</row>
    <row r="371" spans="1:19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</row>
    <row r="372" spans="1:19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</row>
    <row r="373" spans="1:19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</row>
    <row r="374" spans="1:19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</row>
    <row r="375" spans="1:19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</row>
    <row r="376" spans="1:19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</row>
    <row r="377" spans="1:19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</row>
    <row r="378" spans="1:19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</row>
    <row r="379" spans="1:19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</row>
    <row r="380" spans="1:19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</row>
    <row r="381" spans="1:19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</row>
    <row r="382" spans="1:19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</row>
    <row r="383" spans="1:19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</row>
    <row r="384" spans="1:19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</row>
    <row r="385" spans="1:19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</row>
    <row r="386" spans="1:19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</row>
    <row r="387" spans="1:19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</row>
    <row r="388" spans="1:19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</row>
    <row r="389" spans="1:19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</row>
    <row r="390" spans="1:19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</row>
    <row r="391" spans="1:19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</row>
    <row r="392" spans="1:19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</row>
    <row r="393" spans="1:19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</row>
    <row r="394" spans="1:19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</row>
    <row r="395" spans="1:19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</row>
    <row r="396" spans="1:19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</row>
    <row r="397" spans="1:19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</row>
    <row r="398" spans="1:19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</row>
    <row r="399" spans="1:19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</row>
    <row r="400" spans="1:19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</row>
    <row r="401" spans="1:19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</row>
    <row r="402" spans="1:19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</row>
    <row r="403" spans="1:19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</row>
    <row r="404" spans="1:19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</row>
    <row r="405" spans="1:19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</row>
    <row r="406" spans="1:19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</row>
    <row r="407" spans="1:19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</row>
    <row r="408" spans="1:19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</row>
    <row r="409" spans="1:19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</row>
    <row r="410" spans="1:19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</row>
    <row r="411" spans="1:19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</row>
    <row r="412" spans="1:19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</row>
    <row r="413" spans="1:19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</row>
    <row r="414" spans="1:19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</row>
    <row r="415" spans="1:19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</row>
    <row r="416" spans="1:19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</row>
    <row r="417" spans="1:19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</row>
    <row r="418" spans="1:19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</row>
    <row r="419" spans="1:19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</row>
    <row r="420" spans="1:19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</row>
    <row r="421" spans="1:19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</row>
    <row r="422" spans="1:19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</row>
    <row r="423" spans="1:19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</row>
    <row r="424" spans="1:19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</row>
    <row r="425" spans="1:19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</row>
    <row r="426" spans="1:19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</row>
    <row r="427" spans="1:19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</row>
    <row r="428" spans="1:19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</row>
    <row r="429" spans="1:19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</row>
    <row r="430" spans="1:19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</row>
    <row r="431" spans="1:19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</row>
    <row r="432" spans="1:19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</row>
    <row r="433" spans="1:19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</row>
    <row r="434" spans="1:19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</row>
    <row r="435" spans="1:19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</row>
    <row r="436" spans="1:19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</row>
    <row r="437" spans="1:19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</row>
    <row r="438" spans="1:19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</row>
    <row r="439" spans="1:19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</row>
    <row r="440" spans="1:19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</row>
    <row r="441" spans="1:19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</row>
    <row r="442" spans="1:19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</row>
    <row r="443" spans="1:19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</row>
    <row r="444" spans="1:19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</row>
    <row r="445" spans="1:19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</row>
    <row r="446" spans="1:19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</row>
    <row r="447" spans="1:19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</row>
    <row r="448" spans="1:19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</row>
    <row r="449" spans="1:19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</row>
    <row r="450" spans="1:19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</row>
    <row r="451" spans="1:19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</row>
    <row r="452" spans="1:19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</row>
    <row r="453" spans="1:19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</row>
    <row r="454" spans="1:19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</row>
    <row r="455" spans="1:19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</row>
    <row r="456" spans="1:19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</row>
    <row r="457" spans="1:19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</row>
    <row r="458" spans="1:19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</row>
    <row r="459" spans="1:19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</row>
    <row r="460" spans="1:19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</row>
    <row r="461" spans="1:19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</row>
    <row r="462" spans="1:19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</row>
    <row r="463" spans="1:19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</row>
    <row r="464" spans="1:19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</row>
    <row r="465" spans="1:19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</row>
    <row r="466" spans="1:19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</row>
    <row r="467" spans="1:19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</row>
    <row r="468" spans="1:19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</row>
    <row r="469" spans="1:19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</row>
    <row r="470" spans="1:19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</row>
    <row r="471" spans="1:19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</row>
    <row r="472" spans="1:19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</row>
    <row r="473" spans="1:19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</row>
    <row r="474" spans="1:19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</row>
    <row r="475" spans="1:19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</row>
    <row r="476" spans="1:19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</row>
    <row r="477" spans="1:19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</row>
    <row r="478" spans="1:19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</row>
    <row r="479" spans="1:19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</row>
    <row r="480" spans="1:12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1:12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1:12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1:12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1:12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1:12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1:12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1:12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1:12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1:12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1:12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1:12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1:12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1:12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1:12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1:12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1:12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1:12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1:12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1:12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1:12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1:12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  <row r="502" spans="1:12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</row>
    <row r="503" spans="1:12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</row>
    <row r="504" spans="1:12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</row>
    <row r="505" spans="1:12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</row>
    <row r="506" spans="1:12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</row>
    <row r="507" spans="1:12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</row>
    <row r="508" spans="1:12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</row>
    <row r="509" spans="1:12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</row>
    <row r="510" spans="1:12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</row>
    <row r="511" spans="1:12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</row>
    <row r="512" spans="1:12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</row>
    <row r="513" spans="1:12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</row>
    <row r="514" spans="1:12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</row>
    <row r="515" spans="1:12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</row>
    <row r="516" spans="1:12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</row>
    <row r="517" spans="1:12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</row>
    <row r="518" spans="1:12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</row>
    <row r="519" spans="1:12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</row>
    <row r="520" spans="1:12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</row>
    <row r="521" spans="1:12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</row>
    <row r="522" spans="1:12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</row>
    <row r="523" spans="1:12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</row>
    <row r="524" spans="1:12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</row>
    <row r="525" spans="1:12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</row>
    <row r="526" spans="1:12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</row>
    <row r="527" spans="1:12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</row>
    <row r="528" spans="1:12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</row>
    <row r="529" spans="1:12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</row>
    <row r="530" spans="1:12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</row>
    <row r="531" spans="1:12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</row>
    <row r="532" spans="1:12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</row>
    <row r="533" spans="1:12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</row>
    <row r="534" spans="1:12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</row>
    <row r="535" spans="1:12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</row>
    <row r="536" spans="1:12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</row>
    <row r="537" spans="1:12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</row>
    <row r="538" spans="1:12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</row>
    <row r="539" spans="1:12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</row>
    <row r="540" spans="1:12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</row>
    <row r="541" spans="1:12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</row>
    <row r="542" spans="1:12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</row>
    <row r="543" spans="1:12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</row>
    <row r="544" spans="1:12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</row>
    <row r="545" spans="1:12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</row>
    <row r="546" spans="1:12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</row>
    <row r="547" spans="1:12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</row>
    <row r="548" spans="1:12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</row>
    <row r="549" spans="1:12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</row>
    <row r="550" spans="1:12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</row>
    <row r="551" spans="1:12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</row>
    <row r="552" spans="1:12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</row>
    <row r="553" spans="1:12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</row>
    <row r="554" spans="1:12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</row>
    <row r="555" spans="1:12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</row>
    <row r="556" spans="1:12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</row>
    <row r="557" spans="1:12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</row>
    <row r="558" spans="1:12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</row>
    <row r="559" spans="1:12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</row>
    <row r="560" spans="1:12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</row>
    <row r="561" spans="1:12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</row>
    <row r="562" spans="1:12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</row>
    <row r="563" spans="1:12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</row>
    <row r="564" spans="1:12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</row>
    <row r="565" spans="1:12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</row>
    <row r="566" spans="1:12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</row>
    <row r="567" spans="1:12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</row>
    <row r="568" spans="1:12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</row>
    <row r="569" spans="1:12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</row>
    <row r="570" spans="1:12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</row>
    <row r="571" spans="1:12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</row>
    <row r="572" spans="1:12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</row>
    <row r="573" spans="1:12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</row>
    <row r="574" spans="1:12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</row>
    <row r="575" spans="1:12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</row>
    <row r="576" spans="1:12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</row>
    <row r="577" spans="1:12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</row>
    <row r="578" spans="1:12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</row>
    <row r="579" spans="1:12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</row>
    <row r="580" spans="1:12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</row>
    <row r="581" spans="1:12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</row>
    <row r="582" spans="1:12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</row>
    <row r="583" spans="1:12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</row>
    <row r="584" spans="1:12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</row>
    <row r="585" spans="1:12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</row>
    <row r="586" spans="1:12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</row>
    <row r="587" spans="1:12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</row>
    <row r="588" spans="1:12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</row>
    <row r="589" spans="1:12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  <row r="639" spans="1:12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</row>
    <row r="640" spans="1:12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</row>
    <row r="641" spans="1:12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</row>
    <row r="642" spans="1:12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</row>
    <row r="643" spans="1:12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</row>
    <row r="644" spans="1:12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</row>
    <row r="645" spans="1:12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</row>
    <row r="646" spans="1:12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</row>
    <row r="647" spans="1:12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</row>
    <row r="648" spans="1:12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</row>
    <row r="650" spans="1:12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</row>
    <row r="651" spans="1:12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</row>
    <row r="652" spans="1:12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</row>
    <row r="653" spans="1:12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</row>
    <row r="654" spans="1:12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</row>
    <row r="655" spans="1:12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</row>
    <row r="656" spans="1:12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</row>
    <row r="657" spans="1:12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</row>
    <row r="658" spans="1:12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</row>
    <row r="659" spans="1:12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</row>
    <row r="660" spans="1:12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</row>
    <row r="661" spans="1:12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</row>
    <row r="662" spans="1:12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</row>
    <row r="663" spans="1:12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</row>
    <row r="664" spans="1:12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</row>
    <row r="665" spans="1:12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</row>
    <row r="666" spans="1:12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</row>
    <row r="667" spans="1:12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</row>
    <row r="668" spans="1:12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</row>
    <row r="669" spans="1:12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</row>
    <row r="670" spans="1:12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</row>
    <row r="671" spans="1:12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</row>
    <row r="672" spans="1:12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</row>
    <row r="673" spans="1:12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</row>
    <row r="674" spans="1:12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</row>
    <row r="675" spans="1:12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</row>
    <row r="676" spans="1:12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</row>
    <row r="677" spans="1:12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</row>
    <row r="678" spans="1:12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</row>
    <row r="679" spans="1:12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</row>
    <row r="680" spans="1:12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</row>
    <row r="681" spans="1:12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</row>
    <row r="682" spans="1:12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</row>
    <row r="683" spans="1:12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</row>
    <row r="684" spans="1:12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</row>
    <row r="685" spans="1:12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</row>
    <row r="686" spans="1:12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</row>
    <row r="687" spans="1:12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</row>
    <row r="688" spans="1:12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</row>
    <row r="689" spans="1:12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</row>
  </sheetData>
  <sheetProtection password="C826" sheet="1"/>
  <mergeCells count="4">
    <mergeCell ref="E5:F5"/>
    <mergeCell ref="B5:D5"/>
    <mergeCell ref="G5:H5"/>
    <mergeCell ref="A1:O2"/>
  </mergeCells>
  <conditionalFormatting sqref="G7 G9">
    <cfRule type="expression" priority="1" dxfId="97" stopIfTrue="1">
      <formula>IF(AND($F$7=$F$9,$F$7&lt;&gt;"",$F$9&lt;&gt;""),1,0)</formula>
    </cfRule>
  </conditionalFormatting>
  <conditionalFormatting sqref="G11 G13">
    <cfRule type="expression" priority="2" dxfId="97" stopIfTrue="1">
      <formula>IF(AND($F$11=$F$13,$F$11&lt;&gt;"",$F$13&lt;&gt;""),1,0)</formula>
    </cfRule>
  </conditionalFormatting>
  <conditionalFormatting sqref="G15 G17">
    <cfRule type="expression" priority="3" dxfId="97" stopIfTrue="1">
      <formula>IF(AND($F$15=$F$17,$F$15&lt;&gt;"",$F$17&lt;&gt;""),1,0)</formula>
    </cfRule>
  </conditionalFormatting>
  <conditionalFormatting sqref="G19 G21">
    <cfRule type="expression" priority="4" dxfId="97" stopIfTrue="1">
      <formula>IF(AND($F$19=$F$21,$F$19&lt;&gt;"",$F$21&lt;&gt;""),1,0)</formula>
    </cfRule>
  </conditionalFormatting>
  <conditionalFormatting sqref="A8:E8 C12 D16">
    <cfRule type="expression" priority="5" dxfId="0" stopIfTrue="1">
      <formula>IF(OR($E$8="en juego",$E$8="hoy!"),1,0)</formula>
    </cfRule>
  </conditionalFormatting>
  <conditionalFormatting sqref="A12:B12 D12:E12 D20">
    <cfRule type="expression" priority="6" dxfId="0" stopIfTrue="1">
      <formula>IF(OR($E$12="en juego",$E$12="hoy!"),1,0)</formula>
    </cfRule>
  </conditionalFormatting>
  <conditionalFormatting sqref="C20 A16:C16 E16">
    <cfRule type="expression" priority="7" dxfId="0" stopIfTrue="1">
      <formula>IF(OR($E$16="en juego",$E$16="hoy!"),1,0)</formula>
    </cfRule>
  </conditionalFormatting>
  <conditionalFormatting sqref="A20:B20 E20">
    <cfRule type="expression" priority="8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 F15 F19">
      <formula1>0</formula1>
      <formula2>99</formula2>
    </dataValidation>
    <dataValidation type="whole" allowBlank="1" showInputMessage="1" showErrorMessage="1" errorTitle="Dato no válido" error="Ingrese sólo un número entero&#10;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rincipal!A1" display="Menu Principal"/>
  </hyperlink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F13" sqref="F13"/>
    </sheetView>
  </sheetViews>
  <sheetFormatPr defaultColWidth="11.421875" defaultRowHeight="12.75"/>
  <cols>
    <col min="1" max="1" width="2.00390625" style="33" bestFit="1" customWidth="1"/>
    <col min="2" max="2" width="14.7109375" style="33" customWidth="1"/>
    <col min="3" max="4" width="6.7109375" style="33" customWidth="1"/>
    <col min="5" max="5" width="16.7109375" style="33" customWidth="1"/>
    <col min="6" max="6" width="3.7109375" style="33" customWidth="1"/>
    <col min="7" max="7" width="2.00390625" style="33" customWidth="1"/>
    <col min="8" max="8" width="6.57421875" style="33" customWidth="1"/>
    <col min="9" max="9" width="11.7109375" style="33" customWidth="1"/>
    <col min="10" max="10" width="16.7109375" style="33" customWidth="1"/>
    <col min="11" max="11" width="2.7109375" style="33" customWidth="1"/>
    <col min="12" max="12" width="7.7109375" style="33" bestFit="1" customWidth="1"/>
    <col min="13" max="13" width="5.421875" style="33" bestFit="1" customWidth="1"/>
    <col min="14" max="14" width="1.7109375" style="33" customWidth="1"/>
    <col min="15" max="16384" width="11.421875" style="33" customWidth="1"/>
  </cols>
  <sheetData>
    <row r="1" spans="1:21" s="108" customFormat="1" ht="34.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69"/>
      <c r="Q1" s="69"/>
      <c r="R1" s="52"/>
      <c r="S1" s="52"/>
      <c r="T1" s="52"/>
      <c r="U1" s="52"/>
    </row>
    <row r="2" spans="1:21" s="108" customFormat="1" ht="34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69"/>
      <c r="Q2" s="69"/>
      <c r="R2" s="52"/>
      <c r="S2" s="52"/>
      <c r="T2" s="52"/>
      <c r="U2" s="52"/>
    </row>
    <row r="3" spans="1:17" ht="19.5" customHeight="1">
      <c r="A3" s="60"/>
      <c r="B3" s="60"/>
      <c r="C3" s="60"/>
      <c r="D3" s="60"/>
      <c r="E3" s="72"/>
      <c r="F3" s="71"/>
      <c r="G3" s="60"/>
      <c r="H3" s="60"/>
      <c r="I3" s="60"/>
      <c r="J3" s="60"/>
      <c r="K3" s="60"/>
      <c r="L3" s="73"/>
      <c r="M3" s="74"/>
      <c r="N3" s="60"/>
      <c r="O3" s="60"/>
      <c r="P3" s="60"/>
      <c r="Q3" s="60"/>
    </row>
    <row r="4" spans="1:17" ht="15" customHeight="1">
      <c r="A4" s="60"/>
      <c r="B4" s="60"/>
      <c r="C4" s="60"/>
      <c r="D4" s="60"/>
      <c r="E4" s="68"/>
      <c r="F4" s="74"/>
      <c r="G4" s="60"/>
      <c r="H4" s="60"/>
      <c r="I4" s="60"/>
      <c r="J4" s="60"/>
      <c r="K4" s="60"/>
      <c r="L4" s="75">
        <f ca="1">TODAY()</f>
        <v>40231</v>
      </c>
      <c r="M4" s="76">
        <f ca="1">NOW()</f>
        <v>40231.558308217594</v>
      </c>
      <c r="N4" s="60"/>
      <c r="O4" s="161" t="s">
        <v>53</v>
      </c>
      <c r="P4" s="60"/>
      <c r="Q4" s="60"/>
    </row>
    <row r="5" spans="1:17" ht="12" customHeight="1">
      <c r="A5" s="60"/>
      <c r="B5" s="221" t="s">
        <v>98</v>
      </c>
      <c r="C5" s="221"/>
      <c r="D5" s="221"/>
      <c r="E5" s="221" t="s">
        <v>29</v>
      </c>
      <c r="F5" s="221"/>
      <c r="G5" s="222" t="s">
        <v>97</v>
      </c>
      <c r="H5" s="222"/>
      <c r="I5" s="103"/>
      <c r="J5" s="132" t="s">
        <v>34</v>
      </c>
      <c r="K5" s="60"/>
      <c r="L5" s="104"/>
      <c r="M5" s="60"/>
      <c r="N5" s="60"/>
      <c r="O5" s="60"/>
      <c r="P5" s="60"/>
      <c r="Q5" s="60"/>
    </row>
    <row r="6" spans="1:17" ht="31.5" customHeight="1">
      <c r="A6" s="57"/>
      <c r="B6" s="82"/>
      <c r="C6" s="82"/>
      <c r="D6" s="82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/>
      <c r="Q6" s="60"/>
    </row>
    <row r="7" spans="1:17" ht="15" customHeight="1">
      <c r="A7" s="57"/>
      <c r="B7" s="82"/>
      <c r="C7" s="82"/>
      <c r="D7" s="82"/>
      <c r="E7" s="151" t="str">
        <f>'Quartas de Final'!J8</f>
        <v>CF1</v>
      </c>
      <c r="F7" s="152"/>
      <c r="G7" s="63"/>
      <c r="H7" s="83"/>
      <c r="I7" s="59"/>
      <c r="J7" s="59"/>
      <c r="K7" s="60"/>
      <c r="L7" s="60"/>
      <c r="M7" s="60"/>
      <c r="N7" s="60"/>
      <c r="O7" s="60"/>
      <c r="P7" s="60"/>
      <c r="Q7" s="60"/>
    </row>
    <row r="8" spans="1:17" ht="15" customHeight="1">
      <c r="A8" s="105" t="str">
        <f>IF(OR(E8="en juego",E8="hoy!",E8="finalizado"),"  -&gt;     1","1")</f>
        <v>1</v>
      </c>
      <c r="B8" s="137" t="s">
        <v>125</v>
      </c>
      <c r="C8" s="106">
        <v>40365</v>
      </c>
      <c r="D8" s="107">
        <v>0.8541666666666666</v>
      </c>
      <c r="E8" s="153">
        <f>IF(OR(C8="",D8="",C8&lt;$L$4),"",IF(C8=$L$4,IF(AND(D8&lt;=$S$24,$S$24&lt;=(D8+0.08333333333)),"em jogo",IF($S$24&lt;D8,"hoje!","finalizado")),IF($L$4&gt;C8,"finalizado","")))</f>
      </c>
      <c r="F8" s="148"/>
      <c r="G8" s="88"/>
      <c r="H8" s="89"/>
      <c r="I8" s="90"/>
      <c r="J8" s="154" t="str">
        <f>IF(OR(F7="",F9="",AND(F7=F9,OR(G7="",G9=""))),"SF1",IF(F7=F9,IF(G7&gt;G9,E7,E9),IF(F7&gt;F9,E7,E9)))</f>
        <v>SF1</v>
      </c>
      <c r="K8" s="60"/>
      <c r="L8" s="60"/>
      <c r="M8" s="60"/>
      <c r="N8" s="60"/>
      <c r="O8" s="60"/>
      <c r="P8" s="60"/>
      <c r="Q8" s="60"/>
    </row>
    <row r="9" spans="1:17" ht="15" customHeight="1">
      <c r="A9" s="57"/>
      <c r="B9" s="138"/>
      <c r="C9" s="82"/>
      <c r="D9" s="82"/>
      <c r="E9" s="151" t="str">
        <f>'Quartas de Final'!J12</f>
        <v>CF2</v>
      </c>
      <c r="F9" s="152"/>
      <c r="G9" s="64"/>
      <c r="H9" s="92"/>
      <c r="I9" s="191"/>
      <c r="J9" s="59"/>
      <c r="K9" s="60"/>
      <c r="L9" s="60"/>
      <c r="M9" s="60"/>
      <c r="N9" s="60"/>
      <c r="O9" s="60"/>
      <c r="P9" s="60"/>
      <c r="Q9" s="60"/>
    </row>
    <row r="10" spans="1:17" ht="31.5" customHeight="1">
      <c r="A10" s="57"/>
      <c r="B10" s="138"/>
      <c r="C10" s="82"/>
      <c r="D10" s="82"/>
      <c r="E10" s="149"/>
      <c r="F10" s="148"/>
      <c r="G10" s="59"/>
      <c r="H10" s="59"/>
      <c r="I10" s="59"/>
      <c r="J10" s="59"/>
      <c r="K10" s="60"/>
      <c r="L10" s="60"/>
      <c r="M10" s="60"/>
      <c r="N10" s="60"/>
      <c r="O10" s="60"/>
      <c r="P10" s="60"/>
      <c r="Q10" s="60"/>
    </row>
    <row r="11" spans="1:17" ht="15" customHeight="1">
      <c r="A11" s="57"/>
      <c r="B11" s="138"/>
      <c r="C11" s="82"/>
      <c r="D11" s="82"/>
      <c r="E11" s="151" t="str">
        <f>'Quartas de Final'!J16</f>
        <v>CF3</v>
      </c>
      <c r="F11" s="152"/>
      <c r="G11" s="63"/>
      <c r="H11" s="83"/>
      <c r="I11" s="59"/>
      <c r="J11" s="59"/>
      <c r="K11" s="60"/>
      <c r="L11" s="60"/>
      <c r="M11" s="60"/>
      <c r="N11" s="60"/>
      <c r="O11" s="60"/>
      <c r="P11" s="60"/>
      <c r="Q11" s="60"/>
    </row>
    <row r="12" spans="1:17" ht="15" customHeight="1">
      <c r="A12" s="105" t="str">
        <f>IF(OR(E12="en juego",E12="hoy!",E12="finalizado"),"  -&gt;     2","2")</f>
        <v>2</v>
      </c>
      <c r="B12" s="137" t="s">
        <v>135</v>
      </c>
      <c r="C12" s="106">
        <v>40366</v>
      </c>
      <c r="D12" s="107">
        <v>0.8541666666666666</v>
      </c>
      <c r="E12" s="153">
        <f>IF(OR(C12="",D12="",C12&lt;$L$4),"",IF(C12=$L$4,IF(AND(D12&lt;=$S$24,$S$24&lt;=(D12+0.08333333333)),"em jogo",IF($S$24&lt;D12,"hoje!","finalizado")),IF($L$4&gt;C12,"finalizado","")))</f>
      </c>
      <c r="F12" s="148"/>
      <c r="G12" s="88"/>
      <c r="H12" s="89"/>
      <c r="I12" s="90"/>
      <c r="J12" s="154" t="str">
        <f>IF(OR(F11="",F13="",AND(F11=F13,OR(G11="",G13=""))),"SF2",IF(F11=F13,IF(G11&gt;G13,E11,E13),IF(F11&gt;F13,E11,E13)))</f>
        <v>SF2</v>
      </c>
      <c r="K12" s="60"/>
      <c r="L12" s="60"/>
      <c r="M12" s="60"/>
      <c r="N12" s="60"/>
      <c r="O12" s="60"/>
      <c r="P12" s="60"/>
      <c r="Q12" s="60"/>
    </row>
    <row r="13" spans="1:17" ht="15" customHeight="1">
      <c r="A13" s="57"/>
      <c r="B13" s="82"/>
      <c r="C13" s="82"/>
      <c r="D13" s="82"/>
      <c r="E13" s="151" t="str">
        <f>'Quartas de Final'!J20</f>
        <v>CF4</v>
      </c>
      <c r="F13" s="152"/>
      <c r="G13" s="64"/>
      <c r="H13" s="92"/>
      <c r="I13" s="59"/>
      <c r="J13" s="59"/>
      <c r="K13" s="60"/>
      <c r="L13" s="60"/>
      <c r="M13" s="60"/>
      <c r="N13" s="60"/>
      <c r="O13" s="60"/>
      <c r="P13" s="60"/>
      <c r="Q13" s="60"/>
    </row>
    <row r="14" spans="1:17" ht="15" customHeight="1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60"/>
      <c r="M14" s="60"/>
      <c r="N14" s="60"/>
      <c r="O14" s="60"/>
      <c r="P14" s="60"/>
      <c r="Q14" s="60"/>
    </row>
    <row r="15" spans="1:17" ht="14.25" customHeight="1">
      <c r="A15" s="61"/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60"/>
      <c r="M15" s="60"/>
      <c r="N15" s="60"/>
      <c r="O15" s="60"/>
      <c r="P15" s="60"/>
      <c r="Q15" s="60"/>
    </row>
    <row r="16" spans="1:17" ht="14.25" customHeight="1">
      <c r="A16" s="6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4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4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4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4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ht="12.75" hidden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8">
        <f>HOUR(M4)</f>
        <v>13</v>
      </c>
      <c r="S23" s="8">
        <f>MINUTE(M4)</f>
        <v>23</v>
      </c>
    </row>
    <row r="24" spans="1:19" ht="12.75" hidden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8"/>
      <c r="S24" s="9">
        <f>TIME(R23,S23,0)</f>
        <v>0.5576388888888889</v>
      </c>
    </row>
    <row r="25" spans="1:17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2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2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1:12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1:12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1:12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1:12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1:12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1:12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1:12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1:12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1:12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1:12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1:12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1:12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1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1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1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1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1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1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2" spans="1:1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</row>
    <row r="255" spans="1:1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</row>
    <row r="257" spans="1:1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</row>
    <row r="258" spans="1:1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</row>
    <row r="259" spans="1:1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</row>
    <row r="260" spans="1:12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</row>
    <row r="261" spans="1:12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</row>
    <row r="262" spans="1:12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</row>
    <row r="263" spans="1:12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</row>
    <row r="264" spans="1:12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</row>
    <row r="265" spans="1:12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</row>
    <row r="266" spans="1:12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</row>
    <row r="267" spans="1:12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</row>
    <row r="268" spans="1:12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</row>
    <row r="269" spans="1:12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</row>
    <row r="270" spans="1:12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</row>
    <row r="271" spans="1:12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</row>
    <row r="272" spans="1:12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</row>
    <row r="273" spans="1:12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</row>
    <row r="274" spans="1:12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</row>
    <row r="275" spans="1:12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</row>
    <row r="276" spans="1:12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</row>
    <row r="277" spans="1:12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</row>
    <row r="278" spans="1:12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</row>
    <row r="279" spans="1:12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</row>
    <row r="280" spans="1:12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</row>
    <row r="281" spans="1:12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</row>
    <row r="282" spans="1:12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</row>
    <row r="283" spans="1:12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</row>
    <row r="284" spans="1:12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</row>
    <row r="285" spans="1:12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</row>
    <row r="286" spans="1:12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</row>
    <row r="287" spans="1:12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</row>
    <row r="288" spans="1:12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</row>
    <row r="289" spans="1:12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</row>
    <row r="290" spans="1:12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</row>
    <row r="291" spans="1:12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</row>
    <row r="292" spans="1:12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</row>
    <row r="293" spans="1:12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</row>
    <row r="294" spans="1:12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</row>
    <row r="295" spans="1:12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</row>
    <row r="296" spans="1:12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</row>
    <row r="297" spans="1:12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</row>
    <row r="298" spans="1:12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</row>
    <row r="299" spans="1:12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</row>
    <row r="300" spans="1:12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</row>
    <row r="301" spans="1:12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</row>
    <row r="302" spans="1:12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</row>
    <row r="303" spans="1:12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</row>
    <row r="304" spans="1:12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</row>
    <row r="305" spans="1:12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</row>
    <row r="306" spans="1:12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</row>
    <row r="307" spans="1:12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</row>
    <row r="308" spans="1:12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</row>
    <row r="309" spans="1:12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</row>
    <row r="310" spans="1:12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</row>
    <row r="311" spans="1:12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</row>
    <row r="312" spans="1:12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</row>
    <row r="313" spans="1:12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</row>
    <row r="314" spans="1:12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</row>
    <row r="315" spans="1:12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</row>
    <row r="316" spans="1:12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</row>
    <row r="317" spans="1:12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</row>
    <row r="318" spans="1:12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</row>
    <row r="319" spans="1:12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</row>
    <row r="320" spans="1:12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</row>
    <row r="321" spans="1:12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</row>
    <row r="322" spans="1:12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</row>
    <row r="323" spans="1:12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</row>
    <row r="324" spans="1:12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</row>
    <row r="325" spans="1:12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</row>
    <row r="326" spans="1:12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</row>
    <row r="327" spans="1:12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</row>
    <row r="328" spans="1:12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</row>
    <row r="329" spans="1:12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</row>
    <row r="330" spans="1:12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</row>
    <row r="331" spans="1:12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</row>
    <row r="332" spans="1:12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</row>
    <row r="333" spans="1:12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</row>
    <row r="334" spans="1:12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</row>
    <row r="335" spans="1:12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</row>
    <row r="336" spans="1:12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</row>
    <row r="337" spans="1:12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</row>
    <row r="338" spans="1:12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</row>
    <row r="339" spans="1:12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</row>
    <row r="340" spans="1:12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</row>
    <row r="341" spans="1:12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</row>
    <row r="342" spans="1:12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</row>
    <row r="343" spans="1:12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</row>
    <row r="344" spans="1:12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</row>
    <row r="345" spans="1:12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</row>
    <row r="346" spans="1:12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</row>
    <row r="347" spans="1:12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</row>
    <row r="348" spans="1:12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</row>
    <row r="349" spans="1:12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</row>
    <row r="350" spans="1:12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</row>
    <row r="351" spans="1:12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</row>
    <row r="352" spans="1:12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</row>
    <row r="353" spans="1:12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</row>
    <row r="354" spans="1:12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</row>
    <row r="355" spans="1:12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</row>
    <row r="356" spans="1:12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</row>
    <row r="357" spans="1:12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</row>
    <row r="358" spans="1:12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</row>
    <row r="359" spans="1:12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</row>
    <row r="360" spans="1:12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</row>
    <row r="361" spans="1:12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</row>
    <row r="362" spans="1:12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</row>
    <row r="363" spans="1:12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</row>
    <row r="364" spans="1:12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</row>
    <row r="365" spans="1:12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</row>
    <row r="366" spans="1:12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</row>
    <row r="367" spans="1:12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</row>
    <row r="368" spans="1:12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</row>
    <row r="369" spans="1:12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</row>
    <row r="370" spans="1:12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</row>
    <row r="371" spans="1:12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</row>
    <row r="372" spans="1:12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</row>
    <row r="373" spans="1:12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</row>
    <row r="374" spans="1:12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</row>
    <row r="375" spans="1:12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</row>
    <row r="376" spans="1:12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</row>
    <row r="377" spans="1:12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</row>
    <row r="378" spans="1:12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</row>
    <row r="379" spans="1:12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</row>
    <row r="380" spans="1:12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</row>
    <row r="381" spans="1:12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</row>
    <row r="382" spans="1:12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</row>
    <row r="383" spans="1:12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</row>
    <row r="384" spans="1:12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</row>
    <row r="385" spans="1:12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</row>
    <row r="386" spans="1:12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</row>
    <row r="387" spans="1:12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</row>
    <row r="388" spans="1:12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</row>
    <row r="389" spans="1:12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</row>
    <row r="390" spans="1:12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</row>
    <row r="391" spans="1:12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</row>
    <row r="392" spans="1:12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</row>
    <row r="393" spans="1:12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</row>
    <row r="394" spans="1:12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</row>
    <row r="395" spans="1:12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</row>
    <row r="396" spans="1:12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</row>
    <row r="397" spans="1:12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</row>
    <row r="398" spans="1:12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</row>
    <row r="399" spans="1:12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</row>
    <row r="400" spans="1:12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</row>
    <row r="401" spans="1:12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</row>
    <row r="402" spans="1:12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</row>
    <row r="403" spans="1:12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</row>
    <row r="404" spans="1:12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</row>
    <row r="405" spans="1:12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</row>
    <row r="406" spans="1:12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</row>
    <row r="407" spans="1:12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</row>
    <row r="408" spans="1:12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</row>
    <row r="409" spans="1:12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</row>
    <row r="410" spans="1:12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</row>
    <row r="411" spans="1:12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</row>
    <row r="412" spans="1:12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</row>
    <row r="413" spans="1:12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</row>
    <row r="414" spans="1:12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</row>
    <row r="415" spans="1:12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</row>
    <row r="416" spans="1:12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</row>
    <row r="417" spans="1:12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</row>
    <row r="418" spans="1:12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</row>
    <row r="419" spans="1:12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</row>
    <row r="420" spans="1:12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</row>
    <row r="421" spans="1:12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</row>
    <row r="422" spans="1:12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</row>
    <row r="423" spans="1:12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</row>
    <row r="424" spans="1:12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</row>
    <row r="425" spans="1:12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</row>
    <row r="426" spans="1:12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</row>
    <row r="427" spans="1:12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</row>
    <row r="428" spans="1:12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</row>
    <row r="429" spans="1:12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</row>
    <row r="430" spans="1:12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</row>
    <row r="431" spans="1:12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</row>
    <row r="432" spans="1:12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</row>
    <row r="433" spans="1:12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</row>
    <row r="434" spans="1:12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</row>
    <row r="435" spans="1:12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</row>
    <row r="436" spans="1:12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</row>
    <row r="437" spans="1:12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</row>
    <row r="438" spans="1:12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</row>
    <row r="439" spans="1:12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</row>
    <row r="440" spans="1:12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</row>
    <row r="441" spans="1:12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</row>
    <row r="442" spans="1:12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</row>
    <row r="443" spans="1:12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</row>
    <row r="444" spans="1:12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</row>
    <row r="445" spans="1:12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</row>
    <row r="446" spans="1:12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</row>
    <row r="447" spans="1:12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</row>
    <row r="448" spans="1:12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</row>
    <row r="449" spans="1:12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</row>
    <row r="450" spans="1:12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</row>
    <row r="451" spans="1:12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</row>
    <row r="452" spans="1:12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</row>
    <row r="453" spans="1:12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</row>
    <row r="454" spans="1:12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</row>
    <row r="455" spans="1:12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</row>
    <row r="456" spans="1:12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</row>
    <row r="457" spans="1:12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</row>
    <row r="458" spans="1:12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</row>
    <row r="459" spans="1:12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</row>
    <row r="460" spans="1:12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</row>
    <row r="461" spans="1:12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</row>
    <row r="462" spans="1:12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</row>
    <row r="463" spans="1:12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</row>
    <row r="464" spans="1:12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</row>
    <row r="465" spans="1:12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</row>
    <row r="466" spans="1:12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</row>
    <row r="467" spans="1:12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</row>
    <row r="468" spans="1:12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</row>
    <row r="469" spans="1:12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</row>
    <row r="470" spans="1:12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</row>
    <row r="471" spans="1:12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</row>
    <row r="472" spans="1:12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</row>
    <row r="473" spans="1:12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</row>
    <row r="474" spans="1:12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</row>
    <row r="475" spans="1:12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</row>
    <row r="476" spans="1:12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</row>
    <row r="477" spans="1:12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</row>
    <row r="478" spans="1:12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</row>
    <row r="479" spans="1:12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</row>
    <row r="480" spans="1:12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1:12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1:12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1:12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1:12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1:12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1:12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1:12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1:12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1:12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1:12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1:12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1:12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1:12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1:12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1:12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1:12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1:12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1:12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1:12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1:12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1:12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  <row r="502" spans="1:12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</row>
    <row r="503" spans="1:12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</row>
    <row r="504" spans="1:12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</row>
    <row r="505" spans="1:12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</row>
    <row r="506" spans="1:12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</row>
    <row r="507" spans="1:12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</row>
    <row r="508" spans="1:12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</row>
    <row r="509" spans="1:12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</row>
    <row r="510" spans="1:12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</row>
    <row r="511" spans="1:12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</row>
    <row r="512" spans="1:12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</row>
    <row r="513" spans="1:12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</row>
    <row r="514" spans="1:12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</row>
    <row r="515" spans="1:12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</row>
    <row r="516" spans="1:12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</row>
    <row r="517" spans="1:12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</row>
    <row r="518" spans="1:12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</row>
    <row r="519" spans="1:12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</row>
    <row r="520" spans="1:12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</row>
    <row r="521" spans="1:12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</row>
    <row r="522" spans="1:12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</row>
    <row r="523" spans="1:12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</row>
    <row r="524" spans="1:12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</row>
    <row r="525" spans="1:12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</row>
    <row r="526" spans="1:12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</row>
    <row r="527" spans="1:12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</row>
    <row r="528" spans="1:12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</row>
    <row r="529" spans="1:12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</row>
    <row r="530" spans="1:12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</row>
    <row r="531" spans="1:12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</row>
    <row r="532" spans="1:12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</row>
    <row r="533" spans="1:12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</row>
    <row r="534" spans="1:12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</row>
    <row r="535" spans="1:12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</row>
    <row r="536" spans="1:12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</row>
    <row r="537" spans="1:12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</row>
    <row r="538" spans="1:12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</row>
    <row r="539" spans="1:12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</row>
    <row r="540" spans="1:12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</row>
    <row r="541" spans="1:12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</row>
    <row r="542" spans="1:12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</row>
    <row r="543" spans="1:12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</row>
    <row r="544" spans="1:12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</row>
    <row r="545" spans="1:12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</row>
    <row r="546" spans="1:12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</row>
    <row r="547" spans="1:12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</row>
    <row r="548" spans="1:12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</row>
    <row r="549" spans="1:12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</row>
    <row r="550" spans="1:12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</row>
    <row r="551" spans="1:12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</row>
    <row r="552" spans="1:12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</row>
    <row r="553" spans="1:12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</row>
    <row r="554" spans="1:12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</row>
    <row r="555" spans="1:12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</row>
    <row r="556" spans="1:12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</row>
    <row r="557" spans="1:12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</row>
    <row r="558" spans="1:12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</row>
    <row r="559" spans="1:12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</row>
    <row r="560" spans="1:12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</row>
    <row r="561" spans="1:12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</row>
    <row r="562" spans="1:12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</row>
    <row r="563" spans="1:12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</row>
    <row r="564" spans="1:12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</row>
    <row r="565" spans="1:12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</row>
    <row r="566" spans="1:12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</row>
    <row r="567" spans="1:12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</row>
    <row r="568" spans="1:12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</row>
    <row r="569" spans="1:12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</row>
    <row r="570" spans="1:12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</row>
    <row r="571" spans="1:12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</row>
    <row r="572" spans="1:12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</row>
    <row r="573" spans="1:12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</row>
    <row r="574" spans="1:12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</row>
    <row r="575" spans="1:12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</row>
    <row r="576" spans="1:12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</row>
    <row r="577" spans="1:12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</row>
    <row r="578" spans="1:12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</row>
    <row r="579" spans="1:12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</row>
    <row r="580" spans="1:12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</row>
    <row r="581" spans="1:12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</row>
    <row r="582" spans="1:12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</row>
    <row r="583" spans="1:12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</row>
    <row r="584" spans="1:12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</row>
    <row r="585" spans="1:12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</row>
    <row r="586" spans="1:12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</row>
    <row r="587" spans="1:12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</row>
    <row r="588" spans="1:12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</row>
    <row r="589" spans="1:12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  <row r="639" spans="1:12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</row>
    <row r="640" spans="1:12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</row>
    <row r="641" spans="1:12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</row>
    <row r="642" spans="1:12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</row>
    <row r="643" spans="1:12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</row>
    <row r="644" spans="1:12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</row>
    <row r="645" spans="1:12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</row>
    <row r="646" spans="1:12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</row>
    <row r="647" spans="1:12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</row>
    <row r="648" spans="1:12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</row>
    <row r="650" spans="1:12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</row>
    <row r="651" spans="1:12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</row>
    <row r="652" spans="1:12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</row>
    <row r="653" spans="1:12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</row>
    <row r="654" spans="1:12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</row>
    <row r="655" spans="1:12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</row>
    <row r="656" spans="1:12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</row>
    <row r="657" spans="1:12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</row>
    <row r="658" spans="1:12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</row>
    <row r="659" spans="1:12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</row>
    <row r="660" spans="1:12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</row>
    <row r="661" spans="1:12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</row>
    <row r="662" spans="1:12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</row>
    <row r="663" spans="1:12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</row>
    <row r="664" spans="1:12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</row>
    <row r="665" spans="1:12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</row>
    <row r="666" spans="1:12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</row>
    <row r="667" spans="1:12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</row>
    <row r="668" spans="1:12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</row>
    <row r="669" spans="1:12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</row>
    <row r="670" spans="1:12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</row>
    <row r="671" spans="1:12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</row>
    <row r="672" spans="1:12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</row>
    <row r="673" spans="1:12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</row>
    <row r="674" spans="1:12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</row>
    <row r="675" spans="1:12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</row>
    <row r="676" spans="1:12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</row>
    <row r="677" spans="1:12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</row>
    <row r="678" spans="1:12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</row>
    <row r="679" spans="1:12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</row>
    <row r="680" spans="1:12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</row>
    <row r="681" ht="12.75">
      <c r="L681" s="60"/>
    </row>
    <row r="682" ht="12.75">
      <c r="L682" s="60"/>
    </row>
    <row r="683" ht="12.75">
      <c r="L683" s="60"/>
    </row>
    <row r="684" ht="12.75">
      <c r="L684" s="60"/>
    </row>
    <row r="685" ht="12.75">
      <c r="L685" s="60"/>
    </row>
    <row r="686" ht="12.75">
      <c r="L686" s="60"/>
    </row>
    <row r="687" ht="12.75">
      <c r="L687" s="60"/>
    </row>
    <row r="688" ht="12.75">
      <c r="L688" s="60"/>
    </row>
    <row r="689" ht="12.75">
      <c r="L689" s="60"/>
    </row>
  </sheetData>
  <sheetProtection password="C826" sheet="1"/>
  <mergeCells count="4">
    <mergeCell ref="A1:O2"/>
    <mergeCell ref="E5:F5"/>
    <mergeCell ref="B5:D5"/>
    <mergeCell ref="G5:H5"/>
  </mergeCells>
  <conditionalFormatting sqref="G7 G9">
    <cfRule type="expression" priority="1" dxfId="97" stopIfTrue="1">
      <formula>IF(AND($F$7=$F$9,$F$7&lt;&gt;"",$F$9&lt;&gt;""),1,0)</formula>
    </cfRule>
  </conditionalFormatting>
  <conditionalFormatting sqref="G11 G13">
    <cfRule type="expression" priority="2" dxfId="97" stopIfTrue="1">
      <formula>IF(AND($F$11=$F$13,$F$11&lt;&gt;"",$F$13&lt;&gt;""),1,0)</formula>
    </cfRule>
  </conditionalFormatting>
  <conditionalFormatting sqref="A8:E8">
    <cfRule type="expression" priority="3" dxfId="0" stopIfTrue="1">
      <formula>IF(OR($E$8="hoy!",$E$8="en juego"),1,0)</formula>
    </cfRule>
  </conditionalFormatting>
  <conditionalFormatting sqref="A12:E12">
    <cfRule type="expression" priority="4" dxfId="0" stopIfTrue="1">
      <formula>IF(OR($E$12="hoy!",$E$12="en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">
      <formula1>0</formula1>
      <formula2>99</formula2>
    </dataValidation>
    <dataValidation type="whole" allowBlank="1" showInputMessage="1" showErrorMessage="1" errorTitle="Dato no válido" error="Ingrese sólo un número entero&#10;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rincipal!A1" display="Menu Principal"/>
  </hyperlink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93"/>
  <sheetViews>
    <sheetView showGridLines="0" showRowColHeaders="0" showOutlineSymbols="0" zoomScalePageLayoutView="0" workbookViewId="0" topLeftCell="A1">
      <selection activeCell="F18" sqref="F18"/>
    </sheetView>
  </sheetViews>
  <sheetFormatPr defaultColWidth="11.421875" defaultRowHeight="12.75"/>
  <cols>
    <col min="1" max="1" width="8.7109375" style="33" customWidth="1"/>
    <col min="2" max="2" width="16.28125" style="33" customWidth="1"/>
    <col min="3" max="4" width="6.7109375" style="33" customWidth="1"/>
    <col min="5" max="5" width="17.7109375" style="33" customWidth="1"/>
    <col min="6" max="6" width="3.7109375" style="33" customWidth="1"/>
    <col min="7" max="7" width="2.00390625" style="33" customWidth="1"/>
    <col min="8" max="8" width="6.57421875" style="33" customWidth="1"/>
    <col min="9" max="9" width="10.7109375" style="33" customWidth="1"/>
    <col min="10" max="10" width="16.7109375" style="33" customWidth="1"/>
    <col min="11" max="11" width="2.28125" style="33" customWidth="1"/>
    <col min="12" max="12" width="7.7109375" style="33" bestFit="1" customWidth="1"/>
    <col min="13" max="13" width="5.421875" style="33" bestFit="1" customWidth="1"/>
    <col min="14" max="14" width="1.7109375" style="33" customWidth="1"/>
    <col min="15" max="16384" width="11.421875" style="33" customWidth="1"/>
  </cols>
  <sheetData>
    <row r="1" spans="1:21" s="108" customFormat="1" ht="34.5" customHeight="1">
      <c r="A1" s="224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69"/>
      <c r="Q1" s="69"/>
      <c r="R1" s="69"/>
      <c r="S1" s="52"/>
      <c r="T1" s="52"/>
      <c r="U1" s="52"/>
    </row>
    <row r="2" spans="1:21" s="108" customFormat="1" ht="34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69"/>
      <c r="Q2" s="69"/>
      <c r="R2" s="69"/>
      <c r="S2" s="52"/>
      <c r="T2" s="52"/>
      <c r="U2" s="52"/>
    </row>
    <row r="3" spans="1:18" ht="12" customHeight="1">
      <c r="A3" s="70"/>
      <c r="B3" s="60"/>
      <c r="C3" s="71"/>
      <c r="D3" s="60"/>
      <c r="E3" s="72"/>
      <c r="F3" s="72"/>
      <c r="G3" s="60"/>
      <c r="H3" s="60"/>
      <c r="I3" s="60"/>
      <c r="J3" s="60"/>
      <c r="K3" s="60"/>
      <c r="L3" s="73"/>
      <c r="M3" s="74"/>
      <c r="N3" s="60"/>
      <c r="O3" s="60"/>
      <c r="P3" s="60"/>
      <c r="Q3" s="60"/>
      <c r="R3" s="60"/>
    </row>
    <row r="4" spans="1:18" ht="9.75" customHeight="1">
      <c r="A4" s="70"/>
      <c r="B4" s="60"/>
      <c r="C4" s="71"/>
      <c r="D4" s="60"/>
      <c r="E4" s="72"/>
      <c r="F4" s="72"/>
      <c r="G4" s="60"/>
      <c r="H4" s="60"/>
      <c r="I4" s="60"/>
      <c r="J4" s="60"/>
      <c r="K4" s="60"/>
      <c r="L4" s="75">
        <f ca="1">TODAY()</f>
        <v>40231</v>
      </c>
      <c r="M4" s="76">
        <f ca="1">NOW()</f>
        <v>40231.55830833333</v>
      </c>
      <c r="N4" s="60"/>
      <c r="O4" s="161" t="s">
        <v>53</v>
      </c>
      <c r="P4" s="60"/>
      <c r="Q4" s="60"/>
      <c r="R4" s="60"/>
    </row>
    <row r="5" spans="1:18" ht="14.25" customHeight="1">
      <c r="A5" s="70"/>
      <c r="B5" s="77"/>
      <c r="C5" s="78" t="s">
        <v>99</v>
      </c>
      <c r="D5" s="60"/>
      <c r="E5" s="68"/>
      <c r="F5" s="68"/>
      <c r="G5" s="60"/>
      <c r="H5" s="60"/>
      <c r="I5" s="60"/>
      <c r="J5" s="60"/>
      <c r="K5" s="60"/>
      <c r="L5" s="79"/>
      <c r="M5" s="76"/>
      <c r="N5" s="60"/>
      <c r="O5" s="60"/>
      <c r="P5" s="60"/>
      <c r="Q5" s="60"/>
      <c r="R5" s="60"/>
    </row>
    <row r="6" spans="1:18" ht="12" customHeight="1">
      <c r="A6" s="70"/>
      <c r="B6" s="221" t="s">
        <v>98</v>
      </c>
      <c r="C6" s="221"/>
      <c r="D6" s="221"/>
      <c r="E6" s="221" t="s">
        <v>29</v>
      </c>
      <c r="F6" s="221"/>
      <c r="G6" s="222" t="s">
        <v>97</v>
      </c>
      <c r="H6" s="222"/>
      <c r="I6" s="80"/>
      <c r="J6" s="132" t="s">
        <v>100</v>
      </c>
      <c r="K6" s="60"/>
      <c r="L6" s="60"/>
      <c r="M6" s="60"/>
      <c r="N6" s="60"/>
      <c r="O6" s="60"/>
      <c r="P6" s="60"/>
      <c r="Q6" s="60"/>
      <c r="R6" s="60"/>
    </row>
    <row r="7" spans="1:18" ht="9.75" customHeight="1">
      <c r="A7" s="81"/>
      <c r="B7" s="82"/>
      <c r="C7" s="82"/>
      <c r="D7" s="82"/>
      <c r="E7" s="59"/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</row>
    <row r="8" spans="1:18" ht="14.25" customHeight="1">
      <c r="A8" s="81"/>
      <c r="B8" s="82"/>
      <c r="C8" s="82"/>
      <c r="D8" s="82"/>
      <c r="E8" s="145" t="str">
        <f>IF(Semifinal!J8="SF1","SF1-2",IF(Semifinal!J8=Semifinal!E7,Semifinal!E9,Semifinal!E7))</f>
        <v>SF1-2</v>
      </c>
      <c r="F8" s="146"/>
      <c r="G8" s="54"/>
      <c r="H8" s="83"/>
      <c r="I8" s="59"/>
      <c r="J8" s="59"/>
      <c r="K8" s="60"/>
      <c r="L8" s="60"/>
      <c r="M8" s="60"/>
      <c r="N8" s="60"/>
      <c r="O8" s="60"/>
      <c r="P8" s="60"/>
      <c r="Q8" s="60"/>
      <c r="R8" s="60"/>
    </row>
    <row r="9" spans="1:18" ht="14.25" customHeight="1">
      <c r="A9" s="84">
        <f>IF(OR(E9="en juego",E9="hoy!",E9="finalizado"),"Ø","")</f>
      </c>
      <c r="B9" s="99" t="s">
        <v>134</v>
      </c>
      <c r="C9" s="100">
        <v>40369</v>
      </c>
      <c r="D9" s="101">
        <v>0.8541666666666666</v>
      </c>
      <c r="E9" s="147">
        <f>IF(OR(C9="",D9="",C9&lt;$L$4),"",IF(C9=$L$4,IF(AND(D9&lt;=$S$28,$S$28&lt;=(D9+0.08333333333)),"em jogo",IF($S$28&lt;D9,"hoje!","finalizado")),IF($L$4&gt;C9,"finalizado","")))</f>
      </c>
      <c r="F9" s="148"/>
      <c r="G9" s="88"/>
      <c r="H9" s="89"/>
      <c r="I9" s="90"/>
      <c r="J9" s="91" t="str">
        <f>IF(OR(F8="",F10="",AND(F8=F10,OR(G8="",G10=""))),"3º LUGAR",IF(F8=F10,IF(G8&gt;G10,E8,E10),IF(F8&gt;F10,E8,E10)))</f>
        <v>3º LUGAR</v>
      </c>
      <c r="K9" s="60"/>
      <c r="L9" s="60"/>
      <c r="M9" s="60"/>
      <c r="N9" s="60"/>
      <c r="O9" s="60"/>
      <c r="P9" s="60"/>
      <c r="Q9" s="60"/>
      <c r="R9" s="60"/>
    </row>
    <row r="10" spans="1:18" ht="14.25" customHeight="1">
      <c r="A10" s="81"/>
      <c r="B10" s="82"/>
      <c r="C10" s="82"/>
      <c r="D10" s="82"/>
      <c r="E10" s="145" t="str">
        <f>IF(Semifinal!J12="SF2","SF2-2",IF(Semifinal!J12=Semifinal!E11,Semifinal!E13,Semifinal!E11))</f>
        <v>SF2-2</v>
      </c>
      <c r="F10" s="146"/>
      <c r="G10" s="55"/>
      <c r="H10" s="92"/>
      <c r="I10" s="59"/>
      <c r="J10" s="59"/>
      <c r="K10" s="60"/>
      <c r="L10" s="60"/>
      <c r="M10" s="60"/>
      <c r="N10" s="60"/>
      <c r="O10" s="60"/>
      <c r="P10" s="60"/>
      <c r="Q10" s="60"/>
      <c r="R10" s="60"/>
    </row>
    <row r="11" spans="1:18" ht="24.75" customHeight="1">
      <c r="A11" s="81"/>
      <c r="B11" s="82"/>
      <c r="C11" s="82"/>
      <c r="D11" s="82"/>
      <c r="E11" s="93"/>
      <c r="F11" s="67"/>
      <c r="G11" s="94"/>
      <c r="H11" s="90"/>
      <c r="I11" s="59"/>
      <c r="J11" s="59"/>
      <c r="K11" s="60"/>
      <c r="L11" s="60"/>
      <c r="M11" s="60"/>
      <c r="N11" s="60"/>
      <c r="O11" s="60"/>
      <c r="P11" s="60"/>
      <c r="Q11" s="60"/>
      <c r="R11" s="60"/>
    </row>
    <row r="12" spans="1:18" ht="15" customHeight="1">
      <c r="A12" s="95"/>
      <c r="B12" s="96" t="s">
        <v>35</v>
      </c>
      <c r="C12" s="68"/>
      <c r="D12" s="60"/>
      <c r="E12" s="134"/>
      <c r="F12" s="134"/>
      <c r="G12" s="82"/>
      <c r="H12" s="82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5" customHeight="1">
      <c r="A13" s="97"/>
      <c r="B13" s="226" t="s">
        <v>98</v>
      </c>
      <c r="C13" s="226"/>
      <c r="D13" s="226"/>
      <c r="E13" s="226" t="s">
        <v>29</v>
      </c>
      <c r="F13" s="226"/>
      <c r="G13" s="227" t="s">
        <v>97</v>
      </c>
      <c r="H13" s="227"/>
      <c r="I13" s="97"/>
      <c r="J13" s="133" t="s">
        <v>96</v>
      </c>
      <c r="K13" s="97"/>
      <c r="L13" s="97"/>
      <c r="M13" s="97"/>
      <c r="N13" s="97"/>
      <c r="O13" s="60"/>
      <c r="P13" s="60"/>
      <c r="Q13" s="60"/>
      <c r="R13" s="60"/>
    </row>
    <row r="14" spans="1:18" ht="16.5" customHeight="1">
      <c r="A14" s="57"/>
      <c r="B14" s="82"/>
      <c r="C14" s="82"/>
      <c r="D14" s="82"/>
      <c r="E14" s="59"/>
      <c r="F14" s="66"/>
      <c r="G14" s="59"/>
      <c r="H14" s="59"/>
      <c r="I14" s="59"/>
      <c r="J14" s="59"/>
      <c r="K14" s="60"/>
      <c r="L14" s="60"/>
      <c r="M14" s="60"/>
      <c r="N14" s="60"/>
      <c r="O14" s="60"/>
      <c r="P14" s="60"/>
      <c r="Q14" s="60"/>
      <c r="R14" s="60"/>
    </row>
    <row r="15" spans="1:18" ht="18" customHeight="1" thickBot="1">
      <c r="A15" s="57"/>
      <c r="B15" s="82"/>
      <c r="C15" s="82"/>
      <c r="D15" s="82"/>
      <c r="E15" s="156" t="str">
        <f>Semifinal!J8</f>
        <v>SF1</v>
      </c>
      <c r="F15" s="152"/>
      <c r="G15" s="65"/>
      <c r="H15" s="90"/>
      <c r="I15" s="59"/>
      <c r="J15" s="59"/>
      <c r="K15" s="60"/>
      <c r="L15" s="60"/>
      <c r="M15" s="60"/>
      <c r="N15" s="60"/>
      <c r="O15" s="60"/>
      <c r="P15" s="60"/>
      <c r="Q15" s="60"/>
      <c r="R15" s="60"/>
    </row>
    <row r="16" spans="1:18" ht="18" customHeight="1" thickBot="1">
      <c r="A16" s="98">
        <f>IF(OR(E16="en juego",E16="hoy!",E16="finalizado"),"Ø","")</f>
      </c>
      <c r="B16" s="99" t="s">
        <v>124</v>
      </c>
      <c r="C16" s="100">
        <v>40370</v>
      </c>
      <c r="D16" s="101">
        <v>0.8541666666666666</v>
      </c>
      <c r="E16" s="155">
        <f>IF(OR(C16="",D16="",C16&lt;$L$4),"",IF(C16=$L$4,IF(AND(D16&lt;=$S$28,$S$28&lt;=(D16+0.08333333333)),"em jogo",IF($S$28&lt;D16,"hoje!","finalizado")),IF($L$4&gt;C16,"finalizado","")))</f>
      </c>
      <c r="F16" s="148"/>
      <c r="G16" s="88"/>
      <c r="H16" s="89"/>
      <c r="I16" s="90"/>
      <c r="J16" s="228" t="str">
        <f>IF(OR(F15="",F17="",AND(F15=F17,OR(G15="",G17=""))),"CAMPEÃO",IF(F15=F17,IF(G15&gt;G17,E15,E17),IF(F15&gt;F17,E15,E17)))</f>
        <v>CAMPEÃO</v>
      </c>
      <c r="K16" s="229"/>
      <c r="L16" s="60"/>
      <c r="M16" s="60"/>
      <c r="N16" s="60"/>
      <c r="O16" s="60"/>
      <c r="P16" s="60"/>
      <c r="Q16" s="60"/>
      <c r="R16" s="60"/>
    </row>
    <row r="17" spans="1:18" ht="18" customHeight="1">
      <c r="A17" s="57"/>
      <c r="B17" s="82"/>
      <c r="C17" s="82"/>
      <c r="D17" s="82"/>
      <c r="E17" s="156" t="str">
        <f>Semifinal!J12</f>
        <v>SF2</v>
      </c>
      <c r="F17" s="152"/>
      <c r="G17" s="65"/>
      <c r="H17" s="90"/>
      <c r="I17" s="225">
        <f>IF(J16="CAMPEÃO","","CAMPEÕES DO MUNDO 2006")</f>
      </c>
      <c r="J17" s="225"/>
      <c r="K17" s="225"/>
      <c r="L17" s="225"/>
      <c r="M17" s="60"/>
      <c r="N17" s="60"/>
      <c r="O17" s="60"/>
      <c r="P17" s="60"/>
      <c r="Q17" s="60"/>
      <c r="R17" s="60"/>
    </row>
    <row r="18" spans="1:18" ht="15" customHeight="1">
      <c r="A18" s="61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60"/>
      <c r="O18" s="60"/>
      <c r="P18" s="60"/>
      <c r="Q18" s="60"/>
      <c r="R18" s="60"/>
    </row>
    <row r="19" spans="1:18" ht="14.25" customHeight="1">
      <c r="A19" s="61"/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60"/>
      <c r="M19" s="60"/>
      <c r="N19" s="60"/>
      <c r="O19" s="60"/>
      <c r="P19" s="60"/>
      <c r="Q19" s="60"/>
      <c r="R19" s="60"/>
    </row>
    <row r="20" spans="1:18" ht="14.25" customHeight="1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4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4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4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4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9" ht="12.75" hidden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102">
        <f>HOUR(M4)</f>
        <v>13</v>
      </c>
      <c r="S27" s="8">
        <f>MINUTE(M4)</f>
        <v>23</v>
      </c>
    </row>
    <row r="28" spans="1:19" ht="12.75" hidden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102"/>
      <c r="S28" s="9">
        <f>TIME(R27,S27,0)</f>
        <v>0.5576388888888889</v>
      </c>
    </row>
    <row r="29" spans="1:18" ht="1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2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2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1:12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1:12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1:12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1:12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1:12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1:12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1:12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1:12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1:12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1:12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1:12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1:12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1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1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1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1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1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1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2" spans="1:1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</row>
    <row r="255" spans="1:1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</row>
    <row r="257" spans="1:1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</row>
    <row r="258" spans="1:1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</row>
    <row r="259" spans="1:1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</row>
    <row r="260" spans="1:12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</row>
    <row r="261" spans="1:12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</row>
    <row r="262" spans="1:12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</row>
    <row r="263" spans="1:12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</row>
    <row r="264" spans="1:12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</row>
    <row r="265" spans="1:12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</row>
    <row r="266" spans="1:12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</row>
    <row r="267" spans="1:12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</row>
    <row r="268" spans="1:12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</row>
    <row r="269" spans="1:12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</row>
    <row r="270" spans="1:12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</row>
    <row r="271" spans="1:12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</row>
    <row r="272" spans="1:12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</row>
    <row r="273" spans="1:12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</row>
    <row r="274" spans="1:12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</row>
    <row r="275" spans="1:12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</row>
    <row r="276" spans="1:12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</row>
    <row r="277" spans="1:12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</row>
    <row r="278" spans="1:12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</row>
    <row r="279" spans="1:12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</row>
    <row r="280" spans="1:12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</row>
    <row r="281" spans="1:12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</row>
    <row r="282" spans="1:12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</row>
    <row r="283" spans="1:12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</row>
    <row r="284" spans="1:12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</row>
    <row r="285" spans="1:12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</row>
    <row r="286" spans="1:12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</row>
    <row r="287" spans="1:12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</row>
    <row r="288" spans="1:12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</row>
    <row r="289" spans="1:12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</row>
    <row r="290" spans="1:12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</row>
    <row r="291" spans="1:12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</row>
    <row r="292" spans="1:12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</row>
    <row r="293" spans="1:12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</row>
    <row r="294" spans="1:12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</row>
    <row r="295" spans="1:12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</row>
    <row r="296" spans="1:12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</row>
    <row r="297" spans="1:12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</row>
    <row r="298" spans="1:12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</row>
    <row r="299" spans="1:12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</row>
    <row r="300" spans="1:12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</row>
    <row r="301" spans="1:12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</row>
    <row r="302" spans="1:12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</row>
    <row r="303" spans="1:12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</row>
    <row r="304" spans="1:12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</row>
    <row r="305" spans="1:12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</row>
    <row r="306" spans="1:12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</row>
    <row r="307" spans="1:12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</row>
    <row r="308" spans="1:12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</row>
    <row r="309" spans="1:12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</row>
    <row r="310" spans="1:12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</row>
    <row r="311" spans="1:12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</row>
    <row r="312" spans="1:12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</row>
    <row r="313" spans="1:12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</row>
    <row r="314" spans="1:12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</row>
    <row r="315" spans="1:12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</row>
    <row r="316" spans="1:12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</row>
    <row r="317" spans="1:12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</row>
    <row r="318" spans="1:12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</row>
    <row r="319" spans="1:12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</row>
    <row r="320" spans="1:12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</row>
    <row r="321" spans="1:12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</row>
    <row r="322" spans="1:12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</row>
    <row r="323" spans="1:12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</row>
    <row r="324" spans="1:12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</row>
    <row r="325" spans="1:12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</row>
    <row r="326" spans="1:12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</row>
    <row r="327" spans="1:12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</row>
    <row r="328" spans="1:12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</row>
    <row r="329" spans="1:12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</row>
    <row r="330" spans="1:12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</row>
    <row r="331" spans="1:12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</row>
    <row r="332" spans="1:12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</row>
    <row r="333" spans="1:12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</row>
    <row r="334" spans="1:12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</row>
    <row r="335" spans="1:12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</row>
    <row r="336" spans="1:12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</row>
    <row r="337" spans="1:12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</row>
    <row r="338" spans="1:12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</row>
    <row r="339" spans="1:12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</row>
    <row r="340" spans="1:12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</row>
    <row r="341" spans="1:12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</row>
    <row r="342" spans="1:12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</row>
    <row r="343" spans="1:12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</row>
    <row r="344" spans="1:12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</row>
    <row r="345" spans="1:12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</row>
    <row r="346" spans="1:12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</row>
    <row r="347" spans="1:12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</row>
    <row r="348" spans="1:12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</row>
    <row r="349" spans="1:12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</row>
    <row r="350" spans="1:12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</row>
    <row r="351" spans="1:12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</row>
    <row r="352" spans="1:12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</row>
    <row r="353" spans="1:12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</row>
    <row r="354" spans="1:12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</row>
    <row r="355" spans="1:12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</row>
    <row r="356" spans="1:12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</row>
    <row r="357" spans="1:12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</row>
    <row r="358" spans="1:12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</row>
    <row r="359" spans="1:12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</row>
    <row r="360" spans="1:12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</row>
    <row r="361" spans="1:12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</row>
    <row r="362" spans="1:12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</row>
    <row r="363" spans="1:12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</row>
    <row r="364" spans="1:12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</row>
    <row r="365" spans="1:12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</row>
    <row r="366" spans="1:12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</row>
    <row r="367" spans="1:12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</row>
    <row r="368" spans="1:12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</row>
    <row r="369" spans="1:12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</row>
    <row r="370" spans="1:12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</row>
    <row r="371" spans="1:12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</row>
    <row r="372" spans="1:12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</row>
    <row r="373" spans="1:12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</row>
    <row r="374" spans="1:12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</row>
    <row r="375" spans="1:12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</row>
    <row r="376" spans="1:12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</row>
    <row r="377" spans="1:12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</row>
    <row r="378" spans="1:12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</row>
    <row r="379" spans="1:12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</row>
    <row r="380" spans="1:12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</row>
    <row r="381" spans="1:12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</row>
    <row r="382" spans="1:12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</row>
    <row r="383" spans="1:12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</row>
    <row r="384" spans="1:12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</row>
    <row r="385" spans="1:12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</row>
    <row r="386" spans="1:12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</row>
    <row r="387" spans="1:12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</row>
    <row r="388" spans="1:12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</row>
    <row r="389" spans="1:12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</row>
    <row r="390" spans="1:12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</row>
    <row r="391" spans="1:12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</row>
    <row r="392" spans="1:12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</row>
    <row r="393" spans="1:12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</row>
    <row r="394" spans="1:12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</row>
    <row r="395" spans="1:12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</row>
    <row r="396" spans="1:12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</row>
    <row r="397" spans="1:12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</row>
    <row r="398" spans="1:12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</row>
    <row r="399" spans="1:12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</row>
    <row r="400" spans="1:12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</row>
    <row r="401" spans="1:12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</row>
    <row r="402" spans="1:12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</row>
    <row r="403" spans="1:12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</row>
    <row r="404" spans="1:12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</row>
    <row r="405" spans="1:12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</row>
    <row r="406" spans="1:12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</row>
    <row r="407" spans="1:12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</row>
    <row r="408" spans="1:12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</row>
    <row r="409" spans="1:12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</row>
    <row r="410" spans="1:12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</row>
    <row r="411" spans="1:12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</row>
    <row r="412" spans="1:12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</row>
    <row r="413" spans="1:12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</row>
    <row r="414" spans="1:12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</row>
    <row r="415" spans="1:12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</row>
    <row r="416" spans="1:12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</row>
    <row r="417" spans="1:12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</row>
    <row r="418" spans="1:12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</row>
    <row r="419" spans="1:12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</row>
    <row r="420" spans="1:12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</row>
    <row r="421" spans="1:12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</row>
    <row r="422" spans="1:12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</row>
    <row r="423" spans="1:12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</row>
    <row r="424" spans="1:12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</row>
    <row r="425" spans="1:12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</row>
    <row r="426" spans="1:12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</row>
    <row r="427" spans="1:12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</row>
    <row r="428" spans="1:12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</row>
    <row r="429" spans="1:12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</row>
    <row r="430" spans="1:12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</row>
    <row r="431" spans="1:12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</row>
    <row r="432" spans="1:12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</row>
    <row r="433" spans="1:12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</row>
    <row r="434" spans="1:12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</row>
    <row r="435" spans="1:12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</row>
    <row r="436" spans="1:12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</row>
    <row r="437" spans="1:12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</row>
    <row r="438" spans="1:12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</row>
    <row r="439" spans="1:12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</row>
    <row r="440" spans="1:12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</row>
    <row r="441" spans="1:12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</row>
    <row r="442" spans="1:12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</row>
    <row r="443" spans="1:12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</row>
    <row r="444" spans="1:12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</row>
    <row r="445" spans="1:12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</row>
    <row r="446" spans="1:12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</row>
    <row r="447" spans="1:12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</row>
    <row r="448" spans="1:12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</row>
    <row r="449" spans="1:12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</row>
    <row r="450" spans="1:12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</row>
    <row r="451" spans="1:12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</row>
    <row r="452" spans="1:12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</row>
    <row r="453" spans="1:12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</row>
    <row r="454" spans="1:12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</row>
    <row r="455" spans="1:12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</row>
    <row r="456" spans="1:12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</row>
    <row r="457" spans="1:12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</row>
    <row r="458" spans="1:12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</row>
    <row r="459" spans="1:12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</row>
    <row r="460" spans="1:12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</row>
    <row r="461" spans="1:12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</row>
    <row r="462" spans="1:12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</row>
    <row r="463" spans="1:12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</row>
    <row r="464" spans="1:12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</row>
    <row r="465" spans="1:12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</row>
    <row r="466" spans="1:12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</row>
    <row r="467" spans="1:12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</row>
    <row r="468" spans="1:12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</row>
    <row r="469" spans="1:12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</row>
    <row r="470" spans="1:12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</row>
    <row r="471" spans="1:12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</row>
    <row r="472" spans="1:12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</row>
    <row r="473" spans="1:12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</row>
    <row r="474" spans="1:12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</row>
    <row r="475" spans="1:12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</row>
    <row r="476" spans="1:12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</row>
    <row r="477" spans="1:12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</row>
    <row r="478" spans="1:12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</row>
    <row r="479" spans="1:12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</row>
    <row r="480" spans="1:12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1:12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1:12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1:12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1:12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1:12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1:12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1:12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1:12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1:12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1:12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1:12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1:12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1:12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1:12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1:12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1:12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1:12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1:12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1:12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1:12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1:12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  <row r="502" spans="1:12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</row>
    <row r="503" spans="1:12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</row>
    <row r="504" spans="1:12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</row>
    <row r="505" spans="1:12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</row>
    <row r="506" spans="1:12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</row>
    <row r="507" spans="1:12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</row>
    <row r="508" spans="1:12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</row>
    <row r="509" spans="1:12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</row>
    <row r="510" spans="1:12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</row>
    <row r="511" spans="1:12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</row>
    <row r="512" spans="1:12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</row>
    <row r="513" spans="1:12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</row>
    <row r="514" spans="1:12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</row>
    <row r="515" spans="1:12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</row>
    <row r="516" spans="1:12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</row>
    <row r="517" spans="1:12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</row>
    <row r="518" spans="1:12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</row>
    <row r="519" spans="1:12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</row>
    <row r="520" spans="1:12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</row>
    <row r="521" spans="1:12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</row>
    <row r="522" spans="1:12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</row>
    <row r="523" spans="1:12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</row>
    <row r="524" spans="1:12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</row>
    <row r="525" spans="1:12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</row>
    <row r="526" spans="1:12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</row>
    <row r="527" spans="1:12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</row>
    <row r="528" spans="1:12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</row>
    <row r="529" spans="1:12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</row>
    <row r="530" spans="1:12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</row>
    <row r="531" spans="1:12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</row>
    <row r="532" spans="1:12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</row>
    <row r="533" spans="1:12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</row>
    <row r="534" spans="1:12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</row>
    <row r="535" spans="1:12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</row>
    <row r="536" spans="1:12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</row>
    <row r="537" spans="1:12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</row>
    <row r="538" spans="1:12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</row>
    <row r="539" spans="1:12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</row>
    <row r="540" spans="1:12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</row>
    <row r="541" spans="1:12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</row>
    <row r="542" spans="1:12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</row>
    <row r="543" spans="1:12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</row>
    <row r="544" spans="1:12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</row>
    <row r="545" spans="1:12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</row>
    <row r="546" spans="1:12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</row>
    <row r="547" spans="1:12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</row>
    <row r="548" spans="1:12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</row>
    <row r="549" spans="1:12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</row>
    <row r="550" spans="1:12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</row>
    <row r="551" spans="1:12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</row>
    <row r="552" spans="1:12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</row>
    <row r="553" spans="1:12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</row>
    <row r="554" spans="1:12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</row>
    <row r="555" spans="1:12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</row>
    <row r="556" spans="1:12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</row>
    <row r="557" spans="1:12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</row>
    <row r="558" spans="1:12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</row>
    <row r="559" spans="1:12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</row>
    <row r="560" spans="1:12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</row>
    <row r="561" spans="1:12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</row>
    <row r="562" spans="1:12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</row>
    <row r="563" spans="1:12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</row>
    <row r="564" spans="1:12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</row>
    <row r="565" spans="1:12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</row>
    <row r="566" spans="1:12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</row>
    <row r="567" spans="1:12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</row>
    <row r="568" spans="1:12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</row>
    <row r="569" spans="1:12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</row>
    <row r="570" spans="1:12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</row>
    <row r="571" spans="1:12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</row>
    <row r="572" spans="1:12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</row>
    <row r="573" spans="1:12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</row>
    <row r="574" spans="1:12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</row>
    <row r="575" spans="1:12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</row>
    <row r="576" spans="1:12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</row>
    <row r="577" spans="1:12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</row>
    <row r="578" spans="1:12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</row>
    <row r="579" spans="1:12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</row>
    <row r="580" spans="1:12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</row>
    <row r="581" spans="1:12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</row>
    <row r="582" spans="1:12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</row>
    <row r="583" spans="1:12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</row>
    <row r="584" spans="1:12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</row>
    <row r="585" spans="1:12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</row>
    <row r="586" spans="1:12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</row>
    <row r="587" spans="1:12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</row>
    <row r="588" spans="1:12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</row>
    <row r="589" spans="1:12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  <row r="639" spans="1:12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</row>
    <row r="640" spans="1:12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</row>
    <row r="641" spans="1:12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</row>
    <row r="642" spans="1:12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</row>
    <row r="643" spans="1:12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</row>
    <row r="644" spans="1:12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</row>
    <row r="645" spans="1:12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</row>
    <row r="646" spans="1:12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</row>
    <row r="647" spans="1:12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</row>
    <row r="648" spans="1:12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</row>
    <row r="650" spans="1:12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</row>
    <row r="651" spans="1:12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</row>
    <row r="652" spans="1:12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</row>
    <row r="653" spans="1:12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</row>
    <row r="654" spans="1:12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</row>
    <row r="655" spans="1:12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</row>
    <row r="656" spans="1:12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</row>
    <row r="657" spans="1:12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</row>
    <row r="658" spans="1:12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</row>
    <row r="659" spans="1:12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</row>
    <row r="660" spans="1:12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</row>
    <row r="661" spans="1:12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</row>
    <row r="662" spans="1:12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</row>
    <row r="663" spans="1:12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</row>
    <row r="664" spans="1:12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</row>
    <row r="665" spans="1:12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</row>
    <row r="666" spans="1:12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</row>
    <row r="667" spans="1:12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</row>
    <row r="668" spans="1:12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</row>
    <row r="669" spans="1:12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</row>
    <row r="670" spans="1:12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</row>
    <row r="671" spans="1:12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</row>
    <row r="672" spans="1:12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</row>
    <row r="673" spans="1:12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</row>
    <row r="674" spans="1:12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</row>
    <row r="675" spans="1:12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</row>
    <row r="676" spans="1:12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</row>
    <row r="677" spans="1:12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</row>
    <row r="678" spans="1:12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</row>
    <row r="679" spans="1:12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</row>
    <row r="680" spans="1:12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</row>
    <row r="681" spans="1:12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</row>
    <row r="682" spans="1:12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</row>
    <row r="683" spans="1:12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</row>
    <row r="684" spans="1:12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</row>
    <row r="685" ht="12.75">
      <c r="L685" s="60"/>
    </row>
    <row r="686" ht="12.75">
      <c r="L686" s="60"/>
    </row>
    <row r="687" ht="12.75">
      <c r="L687" s="60"/>
    </row>
    <row r="688" ht="12.75">
      <c r="L688" s="60"/>
    </row>
    <row r="689" ht="12.75">
      <c r="L689" s="60"/>
    </row>
    <row r="690" ht="12.75">
      <c r="L690" s="60"/>
    </row>
    <row r="691" ht="12.75">
      <c r="L691" s="60"/>
    </row>
    <row r="692" ht="12.75">
      <c r="L692" s="60"/>
    </row>
    <row r="693" ht="12.75">
      <c r="L693" s="60"/>
    </row>
  </sheetData>
  <sheetProtection password="C826" sheet="1"/>
  <mergeCells count="9">
    <mergeCell ref="A1:O2"/>
    <mergeCell ref="I17:L17"/>
    <mergeCell ref="B13:D13"/>
    <mergeCell ref="E13:F13"/>
    <mergeCell ref="G13:H13"/>
    <mergeCell ref="J16:K16"/>
    <mergeCell ref="E6:F6"/>
    <mergeCell ref="B6:D6"/>
    <mergeCell ref="G6:H6"/>
  </mergeCells>
  <conditionalFormatting sqref="G8 G10">
    <cfRule type="expression" priority="1" dxfId="97" stopIfTrue="1">
      <formula>IF(AND($F$8=$F$10,$F$8&lt;&gt;"",$F$10&lt;&gt;""),1,0)</formula>
    </cfRule>
  </conditionalFormatting>
  <conditionalFormatting sqref="G15 G17">
    <cfRule type="expression" priority="2" dxfId="98" stopIfTrue="1">
      <formula>IF(AND($F$15=$F$17,$F$15&lt;&gt;"",$F$17&lt;&gt;""),1,0)</formula>
    </cfRule>
  </conditionalFormatting>
  <conditionalFormatting sqref="J16:K16">
    <cfRule type="cellIs" priority="3" dxfId="2" operator="notEqual" stopIfTrue="1">
      <formula>"CAMPEON"</formula>
    </cfRule>
  </conditionalFormatting>
  <conditionalFormatting sqref="A9:E9">
    <cfRule type="expression" priority="4" dxfId="0" stopIfTrue="1">
      <formula>IF(OR($E$9="en juego",$E$9="hoy!"),1,0)</formula>
    </cfRule>
  </conditionalFormatting>
  <conditionalFormatting sqref="A16:E16">
    <cfRule type="expression" priority="5" dxfId="0" stopIfTrue="1">
      <formula>IF(OR($E$16="en juego",$E$16="hoy!"),1,0)</formula>
    </cfRule>
  </conditionalFormatting>
  <dataValidations count="4">
    <dataValidation type="whole" allowBlank="1" showInputMessage="1" showErrorMessage="1" errorTitle="Dato no válido." error="Ingrese sólo un número entero&#10;entre 0 y 99." sqref="F8 F15">
      <formula1>0</formula1>
      <formula2>99</formula2>
    </dataValidation>
    <dataValidation type="whole" allowBlank="1" showInputMessage="1" showErrorMessage="1" errorTitle="Dato no válido" error="Ingrese sólo un número entero&#10;entre 0 y 99." sqref="F17 F10:F11">
      <formula1>0</formula1>
      <formula2>99</formula2>
    </dataValidation>
    <dataValidation allowBlank="1" showInputMessage="1" showErrorMessage="1" errorTitle="Entrada no válida." error="El resultado del partido debe ser empate." sqref="G11"/>
    <dataValidation type="custom" showErrorMessage="1" errorTitle="Dato no válido" error="Debe introducir antes el resultado del partido." sqref="G8 G10 G15 G17">
      <formula1>IF(F8&lt;&gt;"",1,0)</formula1>
    </dataValidation>
  </dataValidations>
  <hyperlinks>
    <hyperlink ref="O4" location="Principal!A1" display="Menu Principal"/>
  </hyperlink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9"/>
  <sheetViews>
    <sheetView showGridLines="0" showRowColHeaders="0" showOutlineSymbols="0" zoomScalePageLayoutView="0" workbookViewId="0" topLeftCell="A1">
      <selection activeCell="AE30" sqref="AE30"/>
    </sheetView>
  </sheetViews>
  <sheetFormatPr defaultColWidth="11.421875" defaultRowHeight="12.75"/>
  <cols>
    <col min="1" max="1" width="1.421875" style="171" customWidth="1"/>
    <col min="2" max="2" width="8.57421875" style="171" bestFit="1" customWidth="1"/>
    <col min="3" max="3" width="3.140625" style="171" customWidth="1"/>
    <col min="4" max="4" width="0.9921875" style="171" customWidth="1"/>
    <col min="5" max="5" width="3.140625" style="171" customWidth="1"/>
    <col min="6" max="6" width="8.57421875" style="171" bestFit="1" customWidth="1"/>
    <col min="7" max="8" width="2.28125" style="171" customWidth="1"/>
    <col min="9" max="9" width="8.7109375" style="171" bestFit="1" customWidth="1"/>
    <col min="10" max="10" width="3.140625" style="171" customWidth="1"/>
    <col min="11" max="11" width="0.9921875" style="171" customWidth="1"/>
    <col min="12" max="12" width="3.140625" style="171" customWidth="1"/>
    <col min="13" max="13" width="8.7109375" style="171" bestFit="1" customWidth="1"/>
    <col min="14" max="15" width="2.28125" style="171" customWidth="1"/>
    <col min="16" max="16" width="8.8515625" style="171" bestFit="1" customWidth="1"/>
    <col min="17" max="17" width="3.140625" style="171" customWidth="1"/>
    <col min="18" max="18" width="0.9921875" style="171" customWidth="1"/>
    <col min="19" max="19" width="3.140625" style="171" customWidth="1"/>
    <col min="20" max="20" width="8.8515625" style="171" bestFit="1" customWidth="1"/>
    <col min="21" max="22" width="2.28125" style="171" customWidth="1"/>
    <col min="23" max="23" width="7.421875" style="171" bestFit="1" customWidth="1"/>
    <col min="24" max="24" width="3.140625" style="171" customWidth="1"/>
    <col min="25" max="25" width="0.9921875" style="171" customWidth="1"/>
    <col min="26" max="26" width="3.140625" style="171" customWidth="1"/>
    <col min="27" max="27" width="7.421875" style="171" bestFit="1" customWidth="1"/>
    <col min="28" max="28" width="0.9921875" style="171" customWidth="1"/>
    <col min="29" max="30" width="6.7109375" style="171" customWidth="1"/>
    <col min="31" max="16384" width="11.421875" style="171" customWidth="1"/>
  </cols>
  <sheetData>
    <row r="1" s="166" customFormat="1" ht="4.5" customHeight="1" thickBot="1"/>
    <row r="2" spans="2:27" s="167" customFormat="1" ht="13.5" thickBot="1">
      <c r="B2" s="237" t="s">
        <v>42</v>
      </c>
      <c r="C2" s="238"/>
      <c r="D2" s="238"/>
      <c r="E2" s="238"/>
      <c r="F2" s="239"/>
      <c r="I2" s="237" t="s">
        <v>43</v>
      </c>
      <c r="J2" s="238"/>
      <c r="K2" s="238"/>
      <c r="L2" s="238"/>
      <c r="M2" s="239"/>
      <c r="P2" s="237" t="s">
        <v>44</v>
      </c>
      <c r="Q2" s="238"/>
      <c r="R2" s="238"/>
      <c r="S2" s="238"/>
      <c r="T2" s="239"/>
      <c r="W2" s="237" t="s">
        <v>45</v>
      </c>
      <c r="X2" s="238"/>
      <c r="Y2" s="238"/>
      <c r="Z2" s="238"/>
      <c r="AA2" s="239"/>
    </row>
    <row r="3" s="167" customFormat="1" ht="4.5" customHeight="1" thickBot="1"/>
    <row r="4" spans="2:27" ht="13.5" thickBot="1">
      <c r="B4" s="196" t="s">
        <v>152</v>
      </c>
      <c r="C4" s="184"/>
      <c r="D4" s="169"/>
      <c r="E4" s="184"/>
      <c r="F4" s="197" t="s">
        <v>86</v>
      </c>
      <c r="G4" s="168"/>
      <c r="H4" s="168"/>
      <c r="I4" s="168" t="s">
        <v>40</v>
      </c>
      <c r="J4" s="184"/>
      <c r="K4" s="169"/>
      <c r="L4" s="184"/>
      <c r="M4" s="170" t="s">
        <v>131</v>
      </c>
      <c r="N4" s="168"/>
      <c r="O4" s="168"/>
      <c r="P4" s="168" t="s">
        <v>41</v>
      </c>
      <c r="Q4" s="184"/>
      <c r="R4" s="169"/>
      <c r="S4" s="184"/>
      <c r="T4" s="170" t="s">
        <v>157</v>
      </c>
      <c r="W4" s="168" t="s">
        <v>83</v>
      </c>
      <c r="X4" s="184"/>
      <c r="Y4" s="169"/>
      <c r="Z4" s="184"/>
      <c r="AA4" s="170" t="s">
        <v>89</v>
      </c>
    </row>
    <row r="5" spans="2:27" ht="4.5" customHeight="1" thickBot="1">
      <c r="B5" s="168"/>
      <c r="C5" s="169"/>
      <c r="D5" s="169"/>
      <c r="E5" s="169"/>
      <c r="F5" s="170"/>
      <c r="G5" s="168"/>
      <c r="H5" s="168"/>
      <c r="I5" s="168"/>
      <c r="J5" s="169"/>
      <c r="K5" s="169"/>
      <c r="L5" s="169"/>
      <c r="M5" s="170"/>
      <c r="N5" s="168"/>
      <c r="O5" s="168"/>
      <c r="P5" s="168"/>
      <c r="Q5" s="169"/>
      <c r="R5" s="169"/>
      <c r="S5" s="169"/>
      <c r="T5" s="170"/>
      <c r="W5" s="168"/>
      <c r="X5" s="169"/>
      <c r="Y5" s="169"/>
      <c r="Z5" s="169"/>
      <c r="AA5" s="170"/>
    </row>
    <row r="6" spans="2:27" ht="13.5" thickBot="1">
      <c r="B6" s="196" t="s">
        <v>123</v>
      </c>
      <c r="C6" s="184"/>
      <c r="D6" s="169"/>
      <c r="E6" s="184"/>
      <c r="F6" s="197" t="s">
        <v>91</v>
      </c>
      <c r="G6" s="168"/>
      <c r="H6" s="168"/>
      <c r="I6" s="168" t="s">
        <v>156</v>
      </c>
      <c r="J6" s="184"/>
      <c r="K6" s="169"/>
      <c r="L6" s="184"/>
      <c r="M6" s="170" t="s">
        <v>133</v>
      </c>
      <c r="N6" s="168"/>
      <c r="O6" s="168"/>
      <c r="P6" s="168" t="s">
        <v>137</v>
      </c>
      <c r="Q6" s="184"/>
      <c r="R6" s="169"/>
      <c r="S6" s="184"/>
      <c r="T6" s="170" t="s">
        <v>138</v>
      </c>
      <c r="W6" s="168" t="s">
        <v>140</v>
      </c>
      <c r="X6" s="184"/>
      <c r="Y6" s="169"/>
      <c r="Z6" s="184"/>
      <c r="AA6" s="170" t="s">
        <v>87</v>
      </c>
    </row>
    <row r="7" spans="2:27" ht="4.5" customHeight="1" thickBot="1">
      <c r="B7" s="168"/>
      <c r="C7" s="169"/>
      <c r="D7" s="169"/>
      <c r="E7" s="169"/>
      <c r="F7" s="170"/>
      <c r="G7" s="168"/>
      <c r="H7" s="168"/>
      <c r="I7" s="168"/>
      <c r="J7" s="169"/>
      <c r="K7" s="169"/>
      <c r="L7" s="169"/>
      <c r="M7" s="170"/>
      <c r="N7" s="168"/>
      <c r="O7" s="168"/>
      <c r="P7" s="168"/>
      <c r="Q7" s="169"/>
      <c r="R7" s="169"/>
      <c r="S7" s="169"/>
      <c r="T7" s="170"/>
      <c r="W7" s="168"/>
      <c r="X7" s="169"/>
      <c r="Y7" s="169"/>
      <c r="Z7" s="169"/>
      <c r="AA7" s="170"/>
    </row>
    <row r="8" spans="2:27" ht="13.5" thickBot="1">
      <c r="B8" s="168" t="str">
        <f>B4</f>
        <v>Af.do Sul</v>
      </c>
      <c r="C8" s="184"/>
      <c r="D8" s="169"/>
      <c r="E8" s="184"/>
      <c r="F8" s="170" t="str">
        <f>B6</f>
        <v>Uruguai</v>
      </c>
      <c r="G8" s="168"/>
      <c r="H8" s="168"/>
      <c r="I8" s="168" t="str">
        <f>I4</f>
        <v>Argentina</v>
      </c>
      <c r="J8" s="184"/>
      <c r="K8" s="169"/>
      <c r="L8" s="184"/>
      <c r="M8" s="170" t="str">
        <f>I6</f>
        <v>Coréia do S.</v>
      </c>
      <c r="N8" s="168"/>
      <c r="O8" s="168"/>
      <c r="P8" s="168" t="str">
        <f>P4</f>
        <v>Inglaterra</v>
      </c>
      <c r="Q8" s="184"/>
      <c r="R8" s="169"/>
      <c r="S8" s="184"/>
      <c r="T8" s="170" t="str">
        <f>P6</f>
        <v>Argélia</v>
      </c>
      <c r="W8" s="168" t="str">
        <f>W4</f>
        <v>Alemanha</v>
      </c>
      <c r="X8" s="184"/>
      <c r="Y8" s="169"/>
      <c r="Z8" s="184"/>
      <c r="AA8" s="170" t="str">
        <f>W6</f>
        <v>Sérvia</v>
      </c>
    </row>
    <row r="9" spans="2:27" ht="4.5" customHeight="1" thickBot="1">
      <c r="B9" s="168"/>
      <c r="C9" s="169"/>
      <c r="D9" s="169"/>
      <c r="E9" s="169"/>
      <c r="F9" s="170"/>
      <c r="G9" s="168"/>
      <c r="H9" s="168"/>
      <c r="I9" s="168"/>
      <c r="J9" s="169"/>
      <c r="K9" s="169"/>
      <c r="L9" s="169"/>
      <c r="M9" s="170"/>
      <c r="N9" s="168"/>
      <c r="O9" s="168"/>
      <c r="P9" s="168"/>
      <c r="Q9" s="169"/>
      <c r="R9" s="169"/>
      <c r="S9" s="169"/>
      <c r="T9" s="170"/>
      <c r="W9" s="168"/>
      <c r="X9" s="169"/>
      <c r="Y9" s="169"/>
      <c r="Z9" s="169"/>
      <c r="AA9" s="170"/>
    </row>
    <row r="10" spans="2:27" ht="13.5" thickBot="1">
      <c r="B10" s="168" t="str">
        <f>F6</f>
        <v>França</v>
      </c>
      <c r="C10" s="184"/>
      <c r="D10" s="169"/>
      <c r="E10" s="184"/>
      <c r="F10" s="170" t="str">
        <f>F4</f>
        <v>México</v>
      </c>
      <c r="G10" s="168"/>
      <c r="H10" s="168"/>
      <c r="I10" s="168" t="str">
        <f>M6</f>
        <v>Grécia</v>
      </c>
      <c r="J10" s="184"/>
      <c r="K10" s="169"/>
      <c r="L10" s="184"/>
      <c r="M10" s="170" t="str">
        <f>M4</f>
        <v>Nigéria</v>
      </c>
      <c r="N10" s="168"/>
      <c r="O10" s="168"/>
      <c r="P10" s="168" t="str">
        <f>T6</f>
        <v>Eslovênia</v>
      </c>
      <c r="Q10" s="184"/>
      <c r="R10" s="169"/>
      <c r="S10" s="184"/>
      <c r="T10" s="170" t="str">
        <f>T4</f>
        <v>EUA</v>
      </c>
      <c r="W10" s="168" t="str">
        <f>AA6</f>
        <v>Gana</v>
      </c>
      <c r="X10" s="184"/>
      <c r="Y10" s="169"/>
      <c r="Z10" s="184"/>
      <c r="AA10" s="170" t="str">
        <f>AA4</f>
        <v>Austrália</v>
      </c>
    </row>
    <row r="11" spans="2:27" ht="4.5" customHeight="1" thickBot="1">
      <c r="B11" s="168"/>
      <c r="C11" s="169"/>
      <c r="D11" s="169"/>
      <c r="E11" s="169"/>
      <c r="F11" s="170"/>
      <c r="G11" s="168"/>
      <c r="H11" s="168"/>
      <c r="I11" s="168"/>
      <c r="J11" s="169"/>
      <c r="K11" s="169"/>
      <c r="L11" s="169"/>
      <c r="M11" s="170"/>
      <c r="N11" s="168"/>
      <c r="O11" s="168"/>
      <c r="P11" s="168"/>
      <c r="Q11" s="169"/>
      <c r="R11" s="169"/>
      <c r="S11" s="169"/>
      <c r="T11" s="170"/>
      <c r="W11" s="168"/>
      <c r="X11" s="169"/>
      <c r="Y11" s="169"/>
      <c r="Z11" s="169"/>
      <c r="AA11" s="170"/>
    </row>
    <row r="12" spans="2:27" ht="13.5" thickBot="1">
      <c r="B12" s="168" t="str">
        <f>F6</f>
        <v>França</v>
      </c>
      <c r="C12" s="184"/>
      <c r="D12" s="169"/>
      <c r="E12" s="184"/>
      <c r="F12" s="170" t="str">
        <f>B4</f>
        <v>Af.do Sul</v>
      </c>
      <c r="G12" s="168"/>
      <c r="H12" s="168"/>
      <c r="I12" s="168" t="str">
        <f>M6</f>
        <v>Grécia</v>
      </c>
      <c r="J12" s="184"/>
      <c r="K12" s="169"/>
      <c r="L12" s="184"/>
      <c r="M12" s="170" t="str">
        <f>I4</f>
        <v>Argentina</v>
      </c>
      <c r="N12" s="168"/>
      <c r="O12" s="168"/>
      <c r="P12" s="168" t="str">
        <f>T6</f>
        <v>Eslovênia</v>
      </c>
      <c r="Q12" s="184"/>
      <c r="R12" s="169"/>
      <c r="S12" s="184"/>
      <c r="T12" s="170" t="str">
        <f>P4</f>
        <v>Inglaterra</v>
      </c>
      <c r="W12" s="168" t="str">
        <f>AA6</f>
        <v>Gana</v>
      </c>
      <c r="X12" s="184"/>
      <c r="Y12" s="169"/>
      <c r="Z12" s="184"/>
      <c r="AA12" s="170" t="str">
        <f>W4</f>
        <v>Alemanha</v>
      </c>
    </row>
    <row r="13" spans="2:27" ht="4.5" customHeight="1" thickBot="1">
      <c r="B13" s="168"/>
      <c r="C13" s="169"/>
      <c r="D13" s="169"/>
      <c r="E13" s="169"/>
      <c r="F13" s="170"/>
      <c r="G13" s="168"/>
      <c r="H13" s="168"/>
      <c r="I13" s="168"/>
      <c r="J13" s="169"/>
      <c r="K13" s="169"/>
      <c r="L13" s="169"/>
      <c r="M13" s="170"/>
      <c r="N13" s="168"/>
      <c r="O13" s="168"/>
      <c r="P13" s="168"/>
      <c r="Q13" s="169"/>
      <c r="R13" s="169"/>
      <c r="S13" s="169"/>
      <c r="T13" s="170"/>
      <c r="W13" s="168"/>
      <c r="X13" s="169"/>
      <c r="Y13" s="169"/>
      <c r="Z13" s="169"/>
      <c r="AA13" s="170"/>
    </row>
    <row r="14" spans="2:27" ht="13.5" thickBot="1">
      <c r="B14" s="168" t="str">
        <f>F4</f>
        <v>México</v>
      </c>
      <c r="C14" s="184"/>
      <c r="D14" s="169"/>
      <c r="E14" s="184"/>
      <c r="F14" s="170" t="str">
        <f>B6</f>
        <v>Uruguai</v>
      </c>
      <c r="G14" s="168"/>
      <c r="H14" s="168"/>
      <c r="I14" s="168" t="str">
        <f>M4</f>
        <v>Nigéria</v>
      </c>
      <c r="J14" s="184"/>
      <c r="K14" s="169"/>
      <c r="L14" s="184"/>
      <c r="M14" s="170" t="str">
        <f>I6</f>
        <v>Coréia do S.</v>
      </c>
      <c r="N14" s="168"/>
      <c r="O14" s="168"/>
      <c r="P14" s="168" t="str">
        <f>T4</f>
        <v>EUA</v>
      </c>
      <c r="Q14" s="184"/>
      <c r="R14" s="169"/>
      <c r="S14" s="184"/>
      <c r="T14" s="170" t="str">
        <f>P6</f>
        <v>Argélia</v>
      </c>
      <c r="W14" s="168" t="str">
        <f>AA4</f>
        <v>Austrália</v>
      </c>
      <c r="X14" s="184"/>
      <c r="Y14" s="169"/>
      <c r="Z14" s="184"/>
      <c r="AA14" s="170" t="str">
        <f>W6</f>
        <v>Sérvia</v>
      </c>
    </row>
    <row r="15" ht="4.5" customHeight="1" thickBot="1"/>
    <row r="16" spans="2:27" s="167" customFormat="1" ht="13.5" thickBot="1">
      <c r="B16" s="237" t="s">
        <v>46</v>
      </c>
      <c r="C16" s="238"/>
      <c r="D16" s="238"/>
      <c r="E16" s="238"/>
      <c r="F16" s="239"/>
      <c r="I16" s="237" t="s">
        <v>47</v>
      </c>
      <c r="J16" s="238"/>
      <c r="K16" s="238"/>
      <c r="L16" s="238"/>
      <c r="M16" s="239"/>
      <c r="P16" s="237" t="s">
        <v>48</v>
      </c>
      <c r="Q16" s="238"/>
      <c r="R16" s="238"/>
      <c r="S16" s="238"/>
      <c r="T16" s="239"/>
      <c r="W16" s="237" t="s">
        <v>49</v>
      </c>
      <c r="X16" s="238"/>
      <c r="Y16" s="238"/>
      <c r="Z16" s="238"/>
      <c r="AA16" s="239"/>
    </row>
    <row r="17" s="167" customFormat="1" ht="4.5" customHeight="1" thickBot="1"/>
    <row r="18" spans="2:27" ht="13.5" thickBot="1">
      <c r="B18" s="168" t="s">
        <v>63</v>
      </c>
      <c r="C18" s="184"/>
      <c r="D18" s="169"/>
      <c r="E18" s="184"/>
      <c r="F18" s="170" t="s">
        <v>142</v>
      </c>
      <c r="G18" s="168"/>
      <c r="H18" s="168"/>
      <c r="I18" s="168" t="s">
        <v>88</v>
      </c>
      <c r="J18" s="184"/>
      <c r="K18" s="169"/>
      <c r="L18" s="184"/>
      <c r="M18" s="170" t="s">
        <v>84</v>
      </c>
      <c r="N18" s="168"/>
      <c r="O18" s="168"/>
      <c r="P18" s="168" t="s">
        <v>159</v>
      </c>
      <c r="Q18" s="184"/>
      <c r="R18" s="169"/>
      <c r="S18" s="184"/>
      <c r="T18" s="170" t="s">
        <v>160</v>
      </c>
      <c r="W18" s="168" t="s">
        <v>93</v>
      </c>
      <c r="X18" s="184"/>
      <c r="Y18" s="169"/>
      <c r="Z18" s="184"/>
      <c r="AA18" s="170" t="s">
        <v>92</v>
      </c>
    </row>
    <row r="19" spans="2:27" ht="4.5" customHeight="1" thickBot="1">
      <c r="B19" s="168"/>
      <c r="C19" s="169"/>
      <c r="D19" s="169"/>
      <c r="E19" s="169"/>
      <c r="F19" s="170"/>
      <c r="G19" s="168"/>
      <c r="H19" s="168"/>
      <c r="I19" s="168"/>
      <c r="J19" s="169"/>
      <c r="K19" s="169"/>
      <c r="L19" s="169"/>
      <c r="M19" s="170"/>
      <c r="N19" s="168"/>
      <c r="O19" s="168"/>
      <c r="P19" s="168"/>
      <c r="Q19" s="169"/>
      <c r="R19" s="169"/>
      <c r="S19" s="169"/>
      <c r="T19" s="170"/>
      <c r="W19" s="168"/>
      <c r="X19" s="169"/>
      <c r="Y19" s="169"/>
      <c r="Z19" s="169"/>
      <c r="AA19" s="170"/>
    </row>
    <row r="20" spans="2:27" ht="13.5" thickBot="1">
      <c r="B20" s="168" t="s">
        <v>90</v>
      </c>
      <c r="C20" s="184"/>
      <c r="D20" s="169"/>
      <c r="E20" s="184"/>
      <c r="F20" s="170" t="s">
        <v>143</v>
      </c>
      <c r="G20" s="168"/>
      <c r="H20" s="168"/>
      <c r="I20" s="168" t="s">
        <v>158</v>
      </c>
      <c r="J20" s="184"/>
      <c r="K20" s="169"/>
      <c r="L20" s="184"/>
      <c r="M20" s="170" t="s">
        <v>147</v>
      </c>
      <c r="N20" s="168"/>
      <c r="O20" s="168"/>
      <c r="P20" s="168" t="s">
        <v>106</v>
      </c>
      <c r="Q20" s="184"/>
      <c r="R20" s="169"/>
      <c r="S20" s="184"/>
      <c r="T20" s="170" t="s">
        <v>39</v>
      </c>
      <c r="W20" s="168" t="s">
        <v>150</v>
      </c>
      <c r="X20" s="184"/>
      <c r="Y20" s="169"/>
      <c r="Z20" s="184"/>
      <c r="AA20" s="170" t="s">
        <v>151</v>
      </c>
    </row>
    <row r="21" spans="2:27" ht="4.5" customHeight="1" thickBot="1">
      <c r="B21" s="168"/>
      <c r="C21" s="169"/>
      <c r="D21" s="169"/>
      <c r="E21" s="169"/>
      <c r="F21" s="170"/>
      <c r="G21" s="168"/>
      <c r="H21" s="168"/>
      <c r="I21" s="168"/>
      <c r="J21" s="169"/>
      <c r="K21" s="169"/>
      <c r="L21" s="169"/>
      <c r="M21" s="170"/>
      <c r="N21" s="168"/>
      <c r="O21" s="168"/>
      <c r="P21" s="168"/>
      <c r="Q21" s="169"/>
      <c r="R21" s="169"/>
      <c r="S21" s="169"/>
      <c r="T21" s="170"/>
      <c r="W21" s="168"/>
      <c r="X21" s="169"/>
      <c r="Y21" s="169"/>
      <c r="Z21" s="169"/>
      <c r="AA21" s="170"/>
    </row>
    <row r="22" spans="2:27" ht="13.5" thickBot="1">
      <c r="B22" s="168" t="str">
        <f>B18</f>
        <v>Holanda</v>
      </c>
      <c r="C22" s="184"/>
      <c r="D22" s="169"/>
      <c r="E22" s="184"/>
      <c r="F22" s="170" t="str">
        <f>B20</f>
        <v>Japão</v>
      </c>
      <c r="G22" s="168"/>
      <c r="H22" s="168"/>
      <c r="I22" s="168" t="str">
        <f>I18</f>
        <v>Itália</v>
      </c>
      <c r="J22" s="184"/>
      <c r="K22" s="169"/>
      <c r="L22" s="184"/>
      <c r="M22" s="170" t="str">
        <f>I20</f>
        <v>N.Zelândia</v>
      </c>
      <c r="N22" s="168"/>
      <c r="O22" s="168"/>
      <c r="P22" s="168" t="str">
        <f>P18</f>
        <v>BRASIL</v>
      </c>
      <c r="Q22" s="184"/>
      <c r="R22" s="169"/>
      <c r="S22" s="184"/>
      <c r="T22" s="170" t="str">
        <f>P20</f>
        <v>C.do Marfim</v>
      </c>
      <c r="W22" s="168" t="str">
        <f>W18</f>
        <v>Espanha</v>
      </c>
      <c r="X22" s="184"/>
      <c r="Y22" s="169"/>
      <c r="Z22" s="184"/>
      <c r="AA22" s="170" t="str">
        <f>W20</f>
        <v>Honduras</v>
      </c>
    </row>
    <row r="23" spans="2:27" ht="4.5" customHeight="1" thickBot="1">
      <c r="B23" s="168"/>
      <c r="C23" s="169"/>
      <c r="D23" s="169"/>
      <c r="E23" s="169"/>
      <c r="F23" s="170"/>
      <c r="G23" s="168"/>
      <c r="H23" s="168"/>
      <c r="I23" s="168"/>
      <c r="J23" s="169"/>
      <c r="K23" s="169"/>
      <c r="L23" s="169"/>
      <c r="M23" s="170"/>
      <c r="N23" s="168"/>
      <c r="O23" s="168"/>
      <c r="P23" s="168"/>
      <c r="Q23" s="169"/>
      <c r="R23" s="169"/>
      <c r="S23" s="169"/>
      <c r="T23" s="170"/>
      <c r="W23" s="168"/>
      <c r="X23" s="169"/>
      <c r="Y23" s="169"/>
      <c r="Z23" s="169"/>
      <c r="AA23" s="170"/>
    </row>
    <row r="24" spans="2:27" ht="13.5" thickBot="1">
      <c r="B24" s="168" t="str">
        <f>F20</f>
        <v>Camarões</v>
      </c>
      <c r="C24" s="184"/>
      <c r="D24" s="169"/>
      <c r="E24" s="184"/>
      <c r="F24" s="170" t="str">
        <f>F18</f>
        <v>Dinamarca</v>
      </c>
      <c r="G24" s="168"/>
      <c r="H24" s="168"/>
      <c r="I24" s="168" t="str">
        <f>M20</f>
        <v>Eslovaquia</v>
      </c>
      <c r="J24" s="184"/>
      <c r="K24" s="169"/>
      <c r="L24" s="184"/>
      <c r="M24" s="170" t="str">
        <f>M18</f>
        <v>Paraguai</v>
      </c>
      <c r="N24" s="168"/>
      <c r="O24" s="168"/>
      <c r="P24" s="168" t="str">
        <f>T20</f>
        <v>Portugal</v>
      </c>
      <c r="Q24" s="184"/>
      <c r="R24" s="169"/>
      <c r="S24" s="184"/>
      <c r="T24" s="170" t="str">
        <f>T18</f>
        <v>Coréia do N.</v>
      </c>
      <c r="W24" s="168" t="str">
        <f>AA20</f>
        <v>Chile</v>
      </c>
      <c r="X24" s="184"/>
      <c r="Y24" s="169"/>
      <c r="Z24" s="184"/>
      <c r="AA24" s="170" t="str">
        <f>AA18</f>
        <v>Suiça</v>
      </c>
    </row>
    <row r="25" spans="2:27" ht="4.5" customHeight="1" thickBot="1">
      <c r="B25" s="168"/>
      <c r="C25" s="169"/>
      <c r="D25" s="169"/>
      <c r="E25" s="169"/>
      <c r="F25" s="170"/>
      <c r="G25" s="168"/>
      <c r="H25" s="168"/>
      <c r="I25" s="168"/>
      <c r="J25" s="169"/>
      <c r="K25" s="169"/>
      <c r="L25" s="169"/>
      <c r="M25" s="170"/>
      <c r="N25" s="168"/>
      <c r="O25" s="168"/>
      <c r="P25" s="168"/>
      <c r="Q25" s="169"/>
      <c r="R25" s="169"/>
      <c r="S25" s="169"/>
      <c r="T25" s="170"/>
      <c r="W25" s="168"/>
      <c r="X25" s="169"/>
      <c r="Y25" s="169"/>
      <c r="Z25" s="169"/>
      <c r="AA25" s="170"/>
    </row>
    <row r="26" spans="2:27" ht="13.5" thickBot="1">
      <c r="B26" s="168" t="str">
        <f>F20</f>
        <v>Camarões</v>
      </c>
      <c r="C26" s="184"/>
      <c r="D26" s="169"/>
      <c r="E26" s="184"/>
      <c r="F26" s="170" t="str">
        <f>B18</f>
        <v>Holanda</v>
      </c>
      <c r="G26" s="168"/>
      <c r="H26" s="168"/>
      <c r="I26" s="168" t="str">
        <f>M20</f>
        <v>Eslovaquia</v>
      </c>
      <c r="J26" s="184"/>
      <c r="K26" s="169"/>
      <c r="L26" s="184"/>
      <c r="M26" s="170" t="str">
        <f>I18</f>
        <v>Itália</v>
      </c>
      <c r="N26" s="168"/>
      <c r="O26" s="168"/>
      <c r="P26" s="168" t="str">
        <f>T20</f>
        <v>Portugal</v>
      </c>
      <c r="Q26" s="184"/>
      <c r="R26" s="169"/>
      <c r="S26" s="184"/>
      <c r="T26" s="170" t="str">
        <f>P18</f>
        <v>BRASIL</v>
      </c>
      <c r="W26" s="168" t="str">
        <f>AA20</f>
        <v>Chile</v>
      </c>
      <c r="X26" s="184"/>
      <c r="Y26" s="169"/>
      <c r="Z26" s="184"/>
      <c r="AA26" s="170" t="str">
        <f>W18</f>
        <v>Espanha</v>
      </c>
    </row>
    <row r="27" spans="2:27" ht="4.5" customHeight="1" thickBot="1">
      <c r="B27" s="168"/>
      <c r="C27" s="173"/>
      <c r="D27" s="169"/>
      <c r="E27" s="169"/>
      <c r="F27" s="170"/>
      <c r="G27" s="168"/>
      <c r="H27" s="168"/>
      <c r="I27" s="168"/>
      <c r="J27" s="169"/>
      <c r="K27" s="169"/>
      <c r="L27" s="169"/>
      <c r="M27" s="170"/>
      <c r="N27" s="168"/>
      <c r="O27" s="168"/>
      <c r="P27" s="168"/>
      <c r="Q27" s="169"/>
      <c r="R27" s="169"/>
      <c r="S27" s="169"/>
      <c r="T27" s="170"/>
      <c r="W27" s="168"/>
      <c r="X27" s="169"/>
      <c r="Y27" s="169"/>
      <c r="Z27" s="169"/>
      <c r="AA27" s="170"/>
    </row>
    <row r="28" spans="2:27" ht="13.5" thickBot="1">
      <c r="B28" s="168" t="str">
        <f>F18</f>
        <v>Dinamarca</v>
      </c>
      <c r="C28" s="184"/>
      <c r="D28" s="169"/>
      <c r="E28" s="184"/>
      <c r="F28" s="170" t="str">
        <f>B20</f>
        <v>Japão</v>
      </c>
      <c r="G28" s="168"/>
      <c r="H28" s="168"/>
      <c r="I28" s="168" t="str">
        <f>M18</f>
        <v>Paraguai</v>
      </c>
      <c r="J28" s="184"/>
      <c r="K28" s="169"/>
      <c r="L28" s="184"/>
      <c r="M28" s="170" t="str">
        <f>I20</f>
        <v>N.Zelândia</v>
      </c>
      <c r="N28" s="168"/>
      <c r="O28" s="168"/>
      <c r="P28" s="168" t="str">
        <f>T18</f>
        <v>Coréia do N.</v>
      </c>
      <c r="Q28" s="184"/>
      <c r="R28" s="169"/>
      <c r="S28" s="184"/>
      <c r="T28" s="170" t="str">
        <f>P20</f>
        <v>C.do Marfim</v>
      </c>
      <c r="W28" s="168" t="str">
        <f>AA18</f>
        <v>Suiça</v>
      </c>
      <c r="X28" s="184"/>
      <c r="Y28" s="169"/>
      <c r="Z28" s="184"/>
      <c r="AA28" s="170" t="str">
        <f>W20</f>
        <v>Honduras</v>
      </c>
    </row>
    <row r="29" ht="9.75" customHeight="1" thickBot="1"/>
    <row r="30" spans="2:27" s="167" customFormat="1" ht="13.5" thickBot="1">
      <c r="B30" s="237" t="s">
        <v>94</v>
      </c>
      <c r="C30" s="238"/>
      <c r="D30" s="238"/>
      <c r="E30" s="238"/>
      <c r="F30" s="239"/>
      <c r="W30" s="172"/>
      <c r="X30" s="172"/>
      <c r="Y30" s="172"/>
      <c r="Z30" s="172"/>
      <c r="AA30" s="172"/>
    </row>
    <row r="31" s="167" customFormat="1" ht="4.5" customHeight="1" thickBot="1"/>
    <row r="32" spans="2:13" s="168" customFormat="1" ht="12.75" customHeight="1" thickBot="1">
      <c r="B32" s="244" t="s">
        <v>65</v>
      </c>
      <c r="C32" s="244"/>
      <c r="E32" s="244" t="s">
        <v>66</v>
      </c>
      <c r="F32" s="244"/>
      <c r="I32" s="237" t="s">
        <v>95</v>
      </c>
      <c r="J32" s="238"/>
      <c r="K32" s="238"/>
      <c r="L32" s="238"/>
      <c r="M32" s="239"/>
    </row>
    <row r="33" spans="2:7" s="168" customFormat="1" ht="6" customHeight="1">
      <c r="B33" s="247"/>
      <c r="C33" s="242"/>
      <c r="D33" s="169"/>
      <c r="E33" s="249"/>
      <c r="F33" s="247"/>
      <c r="G33" s="174"/>
    </row>
    <row r="34" spans="2:7" s="168" customFormat="1" ht="6" customHeight="1" thickBot="1">
      <c r="B34" s="248"/>
      <c r="C34" s="243"/>
      <c r="D34" s="169"/>
      <c r="E34" s="250"/>
      <c r="F34" s="248"/>
      <c r="G34" s="175"/>
    </row>
    <row r="35" spans="2:27" s="168" customFormat="1" ht="6" customHeight="1">
      <c r="B35" s="169"/>
      <c r="F35" s="169"/>
      <c r="G35" s="176"/>
      <c r="H35" s="174"/>
      <c r="I35" s="240"/>
      <c r="J35" s="242"/>
      <c r="K35" s="169"/>
      <c r="L35" s="242"/>
      <c r="M35" s="240"/>
      <c r="N35" s="174"/>
      <c r="AA35" s="177"/>
    </row>
    <row r="36" spans="2:14" s="168" customFormat="1" ht="6" customHeight="1" thickBot="1">
      <c r="B36" s="169"/>
      <c r="F36" s="169"/>
      <c r="G36" s="176"/>
      <c r="I36" s="241"/>
      <c r="J36" s="243"/>
      <c r="K36" s="169"/>
      <c r="L36" s="243"/>
      <c r="M36" s="241"/>
      <c r="N36" s="175"/>
    </row>
    <row r="37" spans="2:20" s="168" customFormat="1" ht="12.75" customHeight="1" thickBot="1">
      <c r="B37" s="244" t="s">
        <v>67</v>
      </c>
      <c r="C37" s="244"/>
      <c r="E37" s="244" t="s">
        <v>68</v>
      </c>
      <c r="F37" s="244"/>
      <c r="G37" s="176"/>
      <c r="J37" s="169"/>
      <c r="K37" s="169"/>
      <c r="L37" s="169"/>
      <c r="N37" s="176"/>
      <c r="P37" s="237" t="s">
        <v>64</v>
      </c>
      <c r="Q37" s="238"/>
      <c r="R37" s="238"/>
      <c r="S37" s="238"/>
      <c r="T37" s="239"/>
    </row>
    <row r="38" spans="2:14" s="168" customFormat="1" ht="6" customHeight="1">
      <c r="B38" s="240"/>
      <c r="C38" s="242"/>
      <c r="D38" s="169"/>
      <c r="E38" s="249"/>
      <c r="F38" s="247"/>
      <c r="G38" s="178"/>
      <c r="N38" s="176"/>
    </row>
    <row r="39" spans="2:14" s="168" customFormat="1" ht="6" customHeight="1" thickBot="1">
      <c r="B39" s="241"/>
      <c r="C39" s="243"/>
      <c r="D39" s="169"/>
      <c r="E39" s="250"/>
      <c r="F39" s="248"/>
      <c r="N39" s="176"/>
    </row>
    <row r="40" spans="2:21" s="168" customFormat="1" ht="6" customHeight="1">
      <c r="B40" s="169"/>
      <c r="F40" s="169"/>
      <c r="N40" s="176"/>
      <c r="O40" s="174"/>
      <c r="P40" s="240"/>
      <c r="Q40" s="242"/>
      <c r="R40" s="169"/>
      <c r="S40" s="242"/>
      <c r="T40" s="240"/>
      <c r="U40" s="174"/>
    </row>
    <row r="41" spans="2:21" s="168" customFormat="1" ht="6" customHeight="1" thickBot="1">
      <c r="B41" s="169"/>
      <c r="F41" s="169"/>
      <c r="N41" s="176"/>
      <c r="P41" s="241"/>
      <c r="Q41" s="243"/>
      <c r="R41" s="169"/>
      <c r="S41" s="243"/>
      <c r="T41" s="241"/>
      <c r="U41" s="175"/>
    </row>
    <row r="42" spans="2:21" s="168" customFormat="1" ht="12.75" customHeight="1" thickBot="1">
      <c r="B42" s="244" t="s">
        <v>73</v>
      </c>
      <c r="C42" s="244"/>
      <c r="E42" s="244" t="s">
        <v>74</v>
      </c>
      <c r="F42" s="244"/>
      <c r="N42" s="176"/>
      <c r="U42" s="176"/>
    </row>
    <row r="43" spans="2:21" s="168" customFormat="1" ht="6" customHeight="1">
      <c r="B43" s="240"/>
      <c r="C43" s="242"/>
      <c r="D43" s="169"/>
      <c r="E43" s="249"/>
      <c r="F43" s="247"/>
      <c r="G43" s="174"/>
      <c r="N43" s="176"/>
      <c r="U43" s="176"/>
    </row>
    <row r="44" spans="2:21" s="168" customFormat="1" ht="6" customHeight="1" thickBot="1">
      <c r="B44" s="241"/>
      <c r="C44" s="243"/>
      <c r="D44" s="169"/>
      <c r="E44" s="250"/>
      <c r="F44" s="248"/>
      <c r="G44" s="175"/>
      <c r="N44" s="176"/>
      <c r="U44" s="176"/>
    </row>
    <row r="45" spans="2:30" s="168" customFormat="1" ht="6" customHeight="1">
      <c r="B45" s="169"/>
      <c r="F45" s="169"/>
      <c r="G45" s="176"/>
      <c r="H45" s="174"/>
      <c r="I45" s="240"/>
      <c r="J45" s="245"/>
      <c r="K45" s="179"/>
      <c r="L45" s="242"/>
      <c r="M45" s="240"/>
      <c r="N45" s="178"/>
      <c r="U45" s="176"/>
      <c r="W45" s="255" t="s">
        <v>81</v>
      </c>
      <c r="X45" s="256"/>
      <c r="Y45" s="256"/>
      <c r="Z45" s="256"/>
      <c r="AA45" s="257"/>
      <c r="AC45" s="230"/>
      <c r="AD45" s="230"/>
    </row>
    <row r="46" spans="2:30" s="168" customFormat="1" ht="6" customHeight="1" thickBot="1">
      <c r="B46" s="169"/>
      <c r="F46" s="169"/>
      <c r="G46" s="176"/>
      <c r="I46" s="241"/>
      <c r="J46" s="246"/>
      <c r="K46" s="169"/>
      <c r="L46" s="243"/>
      <c r="M46" s="241"/>
      <c r="U46" s="176"/>
      <c r="W46" s="258"/>
      <c r="X46" s="259"/>
      <c r="Y46" s="259"/>
      <c r="Z46" s="259"/>
      <c r="AA46" s="260"/>
      <c r="AC46" s="230"/>
      <c r="AD46" s="230"/>
    </row>
    <row r="47" spans="2:30" s="168" customFormat="1" ht="12.75" customHeight="1" thickBot="1">
      <c r="B47" s="244" t="s">
        <v>75</v>
      </c>
      <c r="C47" s="244"/>
      <c r="E47" s="244" t="s">
        <v>76</v>
      </c>
      <c r="F47" s="244"/>
      <c r="G47" s="176"/>
      <c r="U47" s="176"/>
      <c r="AC47" s="235" t="s">
        <v>96</v>
      </c>
      <c r="AD47" s="235"/>
    </row>
    <row r="48" spans="2:30" s="168" customFormat="1" ht="6" customHeight="1">
      <c r="B48" s="240"/>
      <c r="C48" s="242"/>
      <c r="D48" s="169"/>
      <c r="E48" s="249"/>
      <c r="F48" s="247"/>
      <c r="G48" s="178"/>
      <c r="U48" s="176"/>
      <c r="V48" s="180"/>
      <c r="W48" s="240"/>
      <c r="X48" s="242"/>
      <c r="Y48" s="169"/>
      <c r="Z48" s="242"/>
      <c r="AA48" s="240"/>
      <c r="AB48" s="185"/>
      <c r="AC48" s="231"/>
      <c r="AD48" s="232"/>
    </row>
    <row r="49" spans="2:30" s="168" customFormat="1" ht="6" customHeight="1" thickBot="1">
      <c r="B49" s="241"/>
      <c r="C49" s="243"/>
      <c r="D49" s="169"/>
      <c r="E49" s="250"/>
      <c r="F49" s="248"/>
      <c r="U49" s="176"/>
      <c r="W49" s="241"/>
      <c r="X49" s="243"/>
      <c r="Y49" s="169"/>
      <c r="Z49" s="243"/>
      <c r="AA49" s="241"/>
      <c r="AB49" s="169"/>
      <c r="AC49" s="233"/>
      <c r="AD49" s="234"/>
    </row>
    <row r="50" spans="2:21" s="168" customFormat="1" ht="12.75" customHeight="1" thickBot="1">
      <c r="B50" s="169"/>
      <c r="C50" s="169"/>
      <c r="E50" s="169"/>
      <c r="F50" s="169"/>
      <c r="U50" s="176"/>
    </row>
    <row r="51" spans="2:27" s="168" customFormat="1" ht="12.75" customHeight="1" thickBot="1">
      <c r="B51" s="169"/>
      <c r="F51" s="169"/>
      <c r="U51" s="176"/>
      <c r="W51" s="237" t="s">
        <v>99</v>
      </c>
      <c r="X51" s="238"/>
      <c r="Y51" s="238"/>
      <c r="Z51" s="238"/>
      <c r="AA51" s="239"/>
    </row>
    <row r="52" spans="2:27" s="168" customFormat="1" ht="12.75" customHeight="1" thickBot="1">
      <c r="B52" s="244" t="s">
        <v>69</v>
      </c>
      <c r="C52" s="244"/>
      <c r="E52" s="244" t="s">
        <v>70</v>
      </c>
      <c r="F52" s="244"/>
      <c r="U52" s="176"/>
      <c r="W52" s="181"/>
      <c r="X52" s="181"/>
      <c r="Y52" s="181"/>
      <c r="Z52" s="181"/>
      <c r="AA52" s="181"/>
    </row>
    <row r="53" spans="2:27" s="168" customFormat="1" ht="6" customHeight="1">
      <c r="B53" s="240"/>
      <c r="C53" s="242"/>
      <c r="D53" s="169"/>
      <c r="E53" s="249"/>
      <c r="F53" s="247"/>
      <c r="G53" s="174"/>
      <c r="U53" s="176"/>
      <c r="V53" s="180"/>
      <c r="W53" s="240"/>
      <c r="X53" s="242"/>
      <c r="Y53" s="169"/>
      <c r="Z53" s="242"/>
      <c r="AA53" s="240"/>
    </row>
    <row r="54" spans="2:27" s="168" customFormat="1" ht="6" customHeight="1" thickBot="1">
      <c r="B54" s="241"/>
      <c r="C54" s="243"/>
      <c r="D54" s="169"/>
      <c r="E54" s="250"/>
      <c r="F54" s="248"/>
      <c r="G54" s="175"/>
      <c r="U54" s="176"/>
      <c r="W54" s="241"/>
      <c r="X54" s="243"/>
      <c r="Y54" s="169"/>
      <c r="Z54" s="243"/>
      <c r="AA54" s="241"/>
    </row>
    <row r="55" spans="2:21" s="168" customFormat="1" ht="6" customHeight="1">
      <c r="B55" s="169"/>
      <c r="F55" s="169"/>
      <c r="G55" s="176"/>
      <c r="H55" s="174"/>
      <c r="I55" s="240"/>
      <c r="J55" s="242"/>
      <c r="K55" s="169"/>
      <c r="L55" s="242"/>
      <c r="M55" s="240"/>
      <c r="N55" s="174"/>
      <c r="U55" s="176"/>
    </row>
    <row r="56" spans="2:21" s="168" customFormat="1" ht="6" customHeight="1" thickBot="1">
      <c r="B56" s="169"/>
      <c r="F56" s="169"/>
      <c r="G56" s="176"/>
      <c r="I56" s="241"/>
      <c r="J56" s="243"/>
      <c r="K56" s="169"/>
      <c r="L56" s="243"/>
      <c r="M56" s="241"/>
      <c r="N56" s="175"/>
      <c r="U56" s="176"/>
    </row>
    <row r="57" spans="2:21" s="168" customFormat="1" ht="12.75" customHeight="1" thickBot="1">
      <c r="B57" s="244" t="s">
        <v>71</v>
      </c>
      <c r="C57" s="244"/>
      <c r="E57" s="244" t="s">
        <v>72</v>
      </c>
      <c r="F57" s="244"/>
      <c r="G57" s="176"/>
      <c r="J57" s="169"/>
      <c r="K57" s="169"/>
      <c r="L57" s="169"/>
      <c r="N57" s="176"/>
      <c r="U57" s="176"/>
    </row>
    <row r="58" spans="2:21" s="168" customFormat="1" ht="6" customHeight="1">
      <c r="B58" s="240"/>
      <c r="C58" s="242"/>
      <c r="D58" s="169"/>
      <c r="E58" s="242"/>
      <c r="F58" s="240"/>
      <c r="G58" s="178"/>
      <c r="N58" s="176"/>
      <c r="U58" s="176"/>
    </row>
    <row r="59" spans="2:21" s="168" customFormat="1" ht="6" customHeight="1" thickBot="1">
      <c r="B59" s="241"/>
      <c r="C59" s="243"/>
      <c r="D59" s="169"/>
      <c r="E59" s="243"/>
      <c r="F59" s="241"/>
      <c r="N59" s="176"/>
      <c r="U59" s="176"/>
    </row>
    <row r="60" spans="2:29" s="168" customFormat="1" ht="6" customHeight="1">
      <c r="B60" s="169"/>
      <c r="F60" s="169"/>
      <c r="N60" s="176"/>
      <c r="O60" s="174"/>
      <c r="P60" s="240"/>
      <c r="Q60" s="242"/>
      <c r="R60" s="169"/>
      <c r="S60" s="242"/>
      <c r="T60" s="240"/>
      <c r="U60" s="178"/>
      <c r="AA60" s="236" t="s">
        <v>53</v>
      </c>
      <c r="AB60" s="236"/>
      <c r="AC60" s="236"/>
    </row>
    <row r="61" spans="2:29" s="168" customFormat="1" ht="6" customHeight="1" thickBot="1">
      <c r="B61" s="169"/>
      <c r="F61" s="169"/>
      <c r="N61" s="176"/>
      <c r="P61" s="241"/>
      <c r="Q61" s="243"/>
      <c r="R61" s="169"/>
      <c r="S61" s="243"/>
      <c r="T61" s="241"/>
      <c r="AA61" s="236"/>
      <c r="AB61" s="236"/>
      <c r="AC61" s="236"/>
    </row>
    <row r="62" spans="2:14" s="168" customFormat="1" ht="12.75" customHeight="1" thickBot="1">
      <c r="B62" s="244" t="s">
        <v>77</v>
      </c>
      <c r="C62" s="244"/>
      <c r="E62" s="244" t="s">
        <v>78</v>
      </c>
      <c r="F62" s="244"/>
      <c r="N62" s="176"/>
    </row>
    <row r="63" spans="2:14" s="168" customFormat="1" ht="6" customHeight="1">
      <c r="B63" s="240"/>
      <c r="C63" s="242"/>
      <c r="D63" s="169"/>
      <c r="E63" s="242"/>
      <c r="F63" s="240"/>
      <c r="G63" s="174"/>
      <c r="N63" s="176"/>
    </row>
    <row r="64" spans="2:14" s="168" customFormat="1" ht="6" customHeight="1" thickBot="1">
      <c r="B64" s="241"/>
      <c r="C64" s="243"/>
      <c r="D64" s="169"/>
      <c r="E64" s="243"/>
      <c r="F64" s="241"/>
      <c r="G64" s="175"/>
      <c r="N64" s="176"/>
    </row>
    <row r="65" spans="2:14" s="168" customFormat="1" ht="6" customHeight="1">
      <c r="B65" s="169"/>
      <c r="F65" s="169"/>
      <c r="G65" s="176"/>
      <c r="H65" s="174"/>
      <c r="I65" s="240"/>
      <c r="J65" s="242"/>
      <c r="K65" s="169"/>
      <c r="L65" s="242"/>
      <c r="M65" s="240"/>
      <c r="N65" s="178"/>
    </row>
    <row r="66" spans="2:13" s="168" customFormat="1" ht="6" customHeight="1" thickBot="1">
      <c r="B66" s="169"/>
      <c r="F66" s="169"/>
      <c r="G66" s="176"/>
      <c r="I66" s="241"/>
      <c r="J66" s="243"/>
      <c r="K66" s="169"/>
      <c r="L66" s="243"/>
      <c r="M66" s="241"/>
    </row>
    <row r="67" spans="2:7" s="168" customFormat="1" ht="12.75" customHeight="1" thickBot="1">
      <c r="B67" s="244" t="s">
        <v>79</v>
      </c>
      <c r="C67" s="244"/>
      <c r="E67" s="244" t="s">
        <v>80</v>
      </c>
      <c r="F67" s="244"/>
      <c r="G67" s="176"/>
    </row>
    <row r="68" spans="2:7" ht="6" customHeight="1">
      <c r="B68" s="240"/>
      <c r="C68" s="253"/>
      <c r="D68" s="182"/>
      <c r="E68" s="253"/>
      <c r="F68" s="251"/>
      <c r="G68" s="183"/>
    </row>
    <row r="69" spans="2:6" ht="6" customHeight="1" thickBot="1">
      <c r="B69" s="241"/>
      <c r="C69" s="254"/>
      <c r="D69" s="182"/>
      <c r="E69" s="254"/>
      <c r="F69" s="252"/>
    </row>
  </sheetData>
  <sheetProtection password="C826" sheet="1"/>
  <mergeCells count="97">
    <mergeCell ref="Z48:Z49"/>
    <mergeCell ref="AA48:AA49"/>
    <mergeCell ref="W45:AA46"/>
    <mergeCell ref="B2:F2"/>
    <mergeCell ref="E33:E34"/>
    <mergeCell ref="F33:F34"/>
    <mergeCell ref="C33:C34"/>
    <mergeCell ref="B33:B34"/>
    <mergeCell ref="E32:F32"/>
    <mergeCell ref="B32:C32"/>
    <mergeCell ref="B30:F30"/>
    <mergeCell ref="I32:M32"/>
    <mergeCell ref="P37:T37"/>
    <mergeCell ref="W48:W49"/>
    <mergeCell ref="F38:F39"/>
    <mergeCell ref="E38:E39"/>
    <mergeCell ref="C38:C39"/>
    <mergeCell ref="B38:B39"/>
    <mergeCell ref="F48:F49"/>
    <mergeCell ref="E48:E49"/>
    <mergeCell ref="I2:M2"/>
    <mergeCell ref="P2:T2"/>
    <mergeCell ref="W2:AA2"/>
    <mergeCell ref="B16:F16"/>
    <mergeCell ref="I16:M16"/>
    <mergeCell ref="P16:T16"/>
    <mergeCell ref="W16:AA16"/>
    <mergeCell ref="C48:C49"/>
    <mergeCell ref="B48:B49"/>
    <mergeCell ref="F68:F69"/>
    <mergeCell ref="E68:E69"/>
    <mergeCell ref="C68:C69"/>
    <mergeCell ref="B68:B69"/>
    <mergeCell ref="E52:F52"/>
    <mergeCell ref="E57:F57"/>
    <mergeCell ref="E62:F62"/>
    <mergeCell ref="E67:F67"/>
    <mergeCell ref="B37:C37"/>
    <mergeCell ref="E37:F37"/>
    <mergeCell ref="E42:F42"/>
    <mergeCell ref="E47:F47"/>
    <mergeCell ref="B42:C42"/>
    <mergeCell ref="B47:C47"/>
    <mergeCell ref="F43:F44"/>
    <mergeCell ref="E43:E44"/>
    <mergeCell ref="C43:C44"/>
    <mergeCell ref="B43:B44"/>
    <mergeCell ref="F63:F64"/>
    <mergeCell ref="E63:E64"/>
    <mergeCell ref="F58:F59"/>
    <mergeCell ref="E58:E59"/>
    <mergeCell ref="B62:C62"/>
    <mergeCell ref="F53:F54"/>
    <mergeCell ref="E53:E54"/>
    <mergeCell ref="B67:C67"/>
    <mergeCell ref="C63:C64"/>
    <mergeCell ref="B63:B64"/>
    <mergeCell ref="C58:C59"/>
    <mergeCell ref="B58:B59"/>
    <mergeCell ref="C53:C54"/>
    <mergeCell ref="B53:B54"/>
    <mergeCell ref="L35:L36"/>
    <mergeCell ref="M35:M36"/>
    <mergeCell ref="I45:I46"/>
    <mergeCell ref="J45:J46"/>
    <mergeCell ref="L45:L46"/>
    <mergeCell ref="M45:M46"/>
    <mergeCell ref="I35:I36"/>
    <mergeCell ref="J35:J36"/>
    <mergeCell ref="P40:P41"/>
    <mergeCell ref="Q40:Q41"/>
    <mergeCell ref="S40:S41"/>
    <mergeCell ref="T40:T41"/>
    <mergeCell ref="B52:C52"/>
    <mergeCell ref="B57:C57"/>
    <mergeCell ref="L55:L56"/>
    <mergeCell ref="M55:M56"/>
    <mergeCell ref="I55:I56"/>
    <mergeCell ref="J55:J56"/>
    <mergeCell ref="P60:P61"/>
    <mergeCell ref="Q60:Q61"/>
    <mergeCell ref="S60:S61"/>
    <mergeCell ref="T60:T61"/>
    <mergeCell ref="I65:I66"/>
    <mergeCell ref="J65:J66"/>
    <mergeCell ref="L65:L66"/>
    <mergeCell ref="M65:M66"/>
    <mergeCell ref="AC45:AD46"/>
    <mergeCell ref="AC48:AD49"/>
    <mergeCell ref="AC47:AD47"/>
    <mergeCell ref="AA60:AC61"/>
    <mergeCell ref="W51:AA51"/>
    <mergeCell ref="W53:W54"/>
    <mergeCell ref="X53:X54"/>
    <mergeCell ref="Z53:Z54"/>
    <mergeCell ref="AA53:AA54"/>
    <mergeCell ref="X48:X49"/>
  </mergeCells>
  <hyperlinks>
    <hyperlink ref="AA60:AC61" location="Principal!A1" display="Menu Principal"/>
  </hyperlinks>
  <printOptions horizontalCentered="1" verticalCentered="1"/>
  <pageMargins left="0.787401575" right="0.787401575" top="0.984251969" bottom="0.984251969" header="0" footer="0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H -'!Q7</f>
        <v>Espanha</v>
      </c>
      <c r="N2" t="str">
        <f>'- H -'!Q9</f>
        <v>Suiça</v>
      </c>
      <c r="U2" t="str">
        <f>'- H -'!Q11</f>
        <v>Honduras</v>
      </c>
      <c r="AB2" t="str">
        <f>'- H -'!Q13</f>
        <v>Chile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H -'!B6</f>
        <v>Espanha</v>
      </c>
      <c r="B4" s="1">
        <f>'- H -'!C6</f>
        <v>0</v>
      </c>
      <c r="C4" s="1" t="str">
        <f>'- H -'!D6</f>
        <v>-</v>
      </c>
      <c r="D4" s="1">
        <f>'- H -'!E6</f>
        <v>0</v>
      </c>
      <c r="E4" s="3" t="str">
        <f>'- H -'!F6</f>
        <v>Suiça</v>
      </c>
      <c r="F4" s="1">
        <f>COUNTBLANK('- H -'!C6:'- H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H -'!B7</f>
        <v>Honduras</v>
      </c>
      <c r="B5" s="1">
        <f>'- H -'!C7</f>
        <v>0</v>
      </c>
      <c r="C5" s="1" t="str">
        <f>'- H -'!D7</f>
        <v>-</v>
      </c>
      <c r="D5" s="1">
        <f>'- H -'!E7</f>
        <v>0</v>
      </c>
      <c r="E5" s="3" t="str">
        <f>'- H -'!F7</f>
        <v>Chile</v>
      </c>
      <c r="F5" s="1">
        <f>COUNTBLANK('- H -'!C7:'- H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H -'!B8</f>
        <v>Espanha</v>
      </c>
      <c r="B6" s="1">
        <f>'- H -'!C8</f>
        <v>0</v>
      </c>
      <c r="C6" s="1" t="str">
        <f>'- H -'!D8</f>
        <v>-</v>
      </c>
      <c r="D6" s="1">
        <f>'- H -'!E8</f>
        <v>0</v>
      </c>
      <c r="E6" s="3" t="str">
        <f>'- H -'!F8</f>
        <v>Honduras</v>
      </c>
      <c r="F6" s="1">
        <f>COUNTBLANK('- H -'!C8:'- H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H -'!B9</f>
        <v>Chile</v>
      </c>
      <c r="B7" s="1">
        <f>'- H -'!C9</f>
        <v>0</v>
      </c>
      <c r="C7" s="1" t="str">
        <f>'- H -'!D9</f>
        <v>-</v>
      </c>
      <c r="D7" s="1">
        <f>'- H -'!E9</f>
        <v>0</v>
      </c>
      <c r="E7" s="3" t="str">
        <f>'- H -'!F9</f>
        <v>Suiça</v>
      </c>
      <c r="F7" s="1">
        <f>COUNTBLANK('- H -'!C9:'- H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H -'!B10</f>
        <v>Chile</v>
      </c>
      <c r="B8" s="1">
        <f>'- H -'!C10</f>
        <v>0</v>
      </c>
      <c r="C8" s="1" t="str">
        <f>'- H -'!D10</f>
        <v>-</v>
      </c>
      <c r="D8" s="1">
        <f>'- H -'!E10</f>
        <v>0</v>
      </c>
      <c r="E8" s="3" t="str">
        <f>'- H -'!F10</f>
        <v>Espanha</v>
      </c>
      <c r="F8" s="1">
        <f>COUNTBLANK('- H -'!C10:'- H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H -'!B11</f>
        <v>Suiça</v>
      </c>
      <c r="B9" s="1">
        <f>'- H -'!C11</f>
        <v>0</v>
      </c>
      <c r="C9" s="1" t="str">
        <f>'- H -'!D11</f>
        <v>-</v>
      </c>
      <c r="D9" s="1">
        <f>'- H -'!E11</f>
        <v>0</v>
      </c>
      <c r="E9" s="3" t="str">
        <f>'- H -'!F11</f>
        <v>Honduras</v>
      </c>
      <c r="F9" s="1">
        <f>COUNTBLANK('- H -'!C11:'- H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Espanha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Espanha</v>
      </c>
      <c r="P16">
        <f>VLOOKUP(O16,$F$16:$M$25,8,FALSE)</f>
        <v>0</v>
      </c>
      <c r="S16" t="str">
        <f>IF($P16&gt;=$P18,$O16,$O18)</f>
        <v>Espanha</v>
      </c>
      <c r="T16">
        <f>VLOOKUP(S16,$O$16:$P$25,2,FALSE)</f>
        <v>0</v>
      </c>
      <c r="W16" t="str">
        <f>IF($T16&gt;=$T19,$S16,$S19)</f>
        <v>Espanha</v>
      </c>
      <c r="X16">
        <f>VLOOKUP(W16,$S$16:$T$25,2,FALSE)</f>
        <v>0</v>
      </c>
      <c r="AA16" t="str">
        <f>W16</f>
        <v>Espanha</v>
      </c>
      <c r="AB16">
        <f>VLOOKUP(AA16,W16:X25,2,FALSE)</f>
        <v>0</v>
      </c>
      <c r="AE16" t="str">
        <f>AA16</f>
        <v>Espanha</v>
      </c>
      <c r="AF16">
        <f>VLOOKUP(AE16,AA16:AB25,2,FALSE)</f>
        <v>0</v>
      </c>
      <c r="AI16" t="str">
        <f>AE16</f>
        <v>Espanha</v>
      </c>
      <c r="AJ16">
        <f>VLOOKUP(AI16,AE16:AF25,2,FALSE)</f>
        <v>0</v>
      </c>
    </row>
    <row r="17" spans="6:36" ht="12.75">
      <c r="F17" t="str">
        <f>N2</f>
        <v>Suiça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Suiça</v>
      </c>
      <c r="P17">
        <f>VLOOKUP(O17,$F$16:$M$25,8,FALSE)</f>
        <v>0</v>
      </c>
      <c r="S17" t="str">
        <f>O17</f>
        <v>Suiça</v>
      </c>
      <c r="T17">
        <f>VLOOKUP(S17,$O$16:$P$25,2,FALSE)</f>
        <v>0</v>
      </c>
      <c r="W17" t="str">
        <f>S17</f>
        <v>Suiça</v>
      </c>
      <c r="X17">
        <f>VLOOKUP(W17,$S$16:$T$25,2,FALSE)</f>
        <v>0</v>
      </c>
      <c r="AA17" t="str">
        <f>IF(X17&gt;=X18,W17,W18)</f>
        <v>Suiça</v>
      </c>
      <c r="AB17">
        <f>VLOOKUP(AA17,W16:X25,2,FALSE)</f>
        <v>0</v>
      </c>
      <c r="AE17" t="str">
        <f>IF(AB17&gt;=AB19,AA17,AA19)</f>
        <v>Suiça</v>
      </c>
      <c r="AF17">
        <f>VLOOKUP(AE17,AA16:AB25,2,FALSE)</f>
        <v>0</v>
      </c>
      <c r="AI17" t="str">
        <f>AE17</f>
        <v>Suiça</v>
      </c>
      <c r="AJ17">
        <f>VLOOKUP(AI17,AE16:AF25,2,FALSE)</f>
        <v>0</v>
      </c>
    </row>
    <row r="18" spans="6:36" ht="12.75">
      <c r="F18" t="str">
        <f>U2</f>
        <v>Honduras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Honduras</v>
      </c>
      <c r="P18">
        <f>VLOOKUP(O18,$F$16:$M$25,8,FALSE)</f>
        <v>0</v>
      </c>
      <c r="S18" t="str">
        <f>IF($P18&lt;=$P16,$O18,$O16)</f>
        <v>Honduras</v>
      </c>
      <c r="T18">
        <f>VLOOKUP(S18,$O$16:$P$25,2,FALSE)</f>
        <v>0</v>
      </c>
      <c r="W18" t="str">
        <f>S18</f>
        <v>Honduras</v>
      </c>
      <c r="X18">
        <f>VLOOKUP(W18,$S$16:$T$25,2,FALSE)</f>
        <v>0</v>
      </c>
      <c r="AA18" t="str">
        <f>IF(X18&lt;=X17,W18,W17)</f>
        <v>Honduras</v>
      </c>
      <c r="AB18">
        <f>VLOOKUP(AA18,W16:X25,2,FALSE)</f>
        <v>0</v>
      </c>
      <c r="AE18" t="str">
        <f>AA18</f>
        <v>Honduras</v>
      </c>
      <c r="AF18">
        <f>VLOOKUP(AE18,AA16:AB25,2,FALSE)</f>
        <v>0</v>
      </c>
      <c r="AI18" t="str">
        <f>IF(AF18&gt;=AF19,AE18,AE19)</f>
        <v>Honduras</v>
      </c>
      <c r="AJ18">
        <f>VLOOKUP(AI18,AE16:AF25,2,FALSE)</f>
        <v>0</v>
      </c>
    </row>
    <row r="19" spans="6:36" ht="12.75">
      <c r="F19" t="str">
        <f>AB2</f>
        <v>Chile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Chile</v>
      </c>
      <c r="P19">
        <f>VLOOKUP(O19,$F$16:$M$25,8,FALSE)</f>
        <v>0</v>
      </c>
      <c r="S19" t="str">
        <f>O19</f>
        <v>Chile</v>
      </c>
      <c r="T19">
        <f>VLOOKUP(S19,$O$16:$P$25,2,FALSE)</f>
        <v>0</v>
      </c>
      <c r="W19" t="str">
        <f>IF($T19&lt;=$T16,$S19,$S16)</f>
        <v>Chile</v>
      </c>
      <c r="X19">
        <f>VLOOKUP(W19,$S$16:$T$25,2,FALSE)</f>
        <v>0</v>
      </c>
      <c r="AA19" t="str">
        <f>W19</f>
        <v>Chile</v>
      </c>
      <c r="AB19">
        <f>VLOOKUP(AA19,W16:X25,2,FALSE)</f>
        <v>0</v>
      </c>
      <c r="AE19" t="str">
        <f>IF(AB19&lt;=AB17,AA19,AA17)</f>
        <v>Chile</v>
      </c>
      <c r="AF19">
        <f>VLOOKUP(AE19,AA16:AB25,2,FALSE)</f>
        <v>0</v>
      </c>
      <c r="AI19" t="str">
        <f>IF(AF19&lt;=AF18,AE19,AE18)</f>
        <v>Chile</v>
      </c>
      <c r="AJ19">
        <f>VLOOKUP(AI19,AE16:AF25,2,FALSE)</f>
        <v>0</v>
      </c>
    </row>
    <row r="28" spans="6:37" ht="12.75">
      <c r="F28" t="str">
        <f>AI16</f>
        <v>Espanha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Espanha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Espanha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Espanha</v>
      </c>
      <c r="X28">
        <f>VLOOKUP(W28,$S$28:$U$37,2,FALSE)</f>
        <v>0</v>
      </c>
      <c r="Y28">
        <f>VLOOKUP(W28,$S$28:$U$37,3,FALSE)</f>
        <v>0</v>
      </c>
      <c r="AA28" t="str">
        <f>W28</f>
        <v>Espanha</v>
      </c>
      <c r="AB28">
        <f>VLOOKUP(AA28,W28:Y37,2,FALSE)</f>
        <v>0</v>
      </c>
      <c r="AC28">
        <f>VLOOKUP(AA28,W28:Y37,3,FALSE)</f>
        <v>0</v>
      </c>
      <c r="AE28" t="str">
        <f>AA28</f>
        <v>Espanha</v>
      </c>
      <c r="AF28">
        <f>VLOOKUP(AE28,AA28:AC37,2,FALSE)</f>
        <v>0</v>
      </c>
      <c r="AG28">
        <f>VLOOKUP(AE28,AA28:AC37,3,FALSE)</f>
        <v>0</v>
      </c>
      <c r="AI28" t="str">
        <f>AE28</f>
        <v>Espanha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Suiça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Suiça</v>
      </c>
      <c r="P29">
        <f>VLOOKUP(O29,$F$28:$M$37,5,FALSE)</f>
        <v>0</v>
      </c>
      <c r="Q29">
        <f>VLOOKUP(O29,$F$28:$M$37,8,FALSE)</f>
        <v>0</v>
      </c>
      <c r="S29" t="str">
        <f>O29</f>
        <v>Suiça</v>
      </c>
      <c r="T29">
        <f>VLOOKUP(S29,$O$28:$Q$37,2,FALSE)</f>
        <v>0</v>
      </c>
      <c r="U29">
        <f>VLOOKUP(S29,$O$28:$Q$37,3,FALSE)</f>
        <v>0</v>
      </c>
      <c r="W29" t="str">
        <f>S29</f>
        <v>Suiça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Suiça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Suiça</v>
      </c>
      <c r="AF29">
        <f>VLOOKUP(AE29,AA28:AC37,2,FALSE)</f>
        <v>0</v>
      </c>
      <c r="AG29">
        <f>VLOOKUP(AE29,AA28:AC37,3,FALSE)</f>
        <v>0</v>
      </c>
      <c r="AI29" t="str">
        <f>AE29</f>
        <v>Suiça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Honduras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Honduras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Honduras</v>
      </c>
      <c r="T30">
        <f>VLOOKUP(S30,$O$28:$Q$37,2,FALSE)</f>
        <v>0</v>
      </c>
      <c r="U30">
        <f>VLOOKUP(S30,$O$28:$Q$37,3,FALSE)</f>
        <v>0</v>
      </c>
      <c r="W30" t="str">
        <f>S30</f>
        <v>Honduras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Honduras</v>
      </c>
      <c r="AB30">
        <f>VLOOKUP(AA30,W28:Y37,2,FALSE)</f>
        <v>0</v>
      </c>
      <c r="AC30">
        <f>VLOOKUP(AA30,W28:Y37,3,FALSE)</f>
        <v>0</v>
      </c>
      <c r="AE30" t="str">
        <f>AA30</f>
        <v>Honduras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Honduras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Chile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Chile</v>
      </c>
      <c r="P31">
        <f>VLOOKUP(O31,$F$28:$M$37,5,FALSE)</f>
        <v>0</v>
      </c>
      <c r="Q31">
        <f>VLOOKUP(O31,$F$28:$M$37,8,FALSE)</f>
        <v>0</v>
      </c>
      <c r="S31" t="str">
        <f>O31</f>
        <v>Chile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Chile</v>
      </c>
      <c r="X31">
        <f>VLOOKUP(W31,$S$28:$U$37,2,FALSE)</f>
        <v>0</v>
      </c>
      <c r="Y31">
        <f>VLOOKUP(W31,$S$28:$U$37,3,FALSE)</f>
        <v>0</v>
      </c>
      <c r="AA31" t="str">
        <f>W31</f>
        <v>Chile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Chile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Chile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Espanha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Espanha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Espanha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Espanha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Espanha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Espanha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Espanha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Suiça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Suiça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Suiça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Suiça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Suiça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Suiça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Suiça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Honduras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Honduras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Honduras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Honduras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Honduras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Honduras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Honduras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Chile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Chile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Chile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Chile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Chile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Chile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Chile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Espanha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Suiça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Honduras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Chile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G -'!Q7</f>
        <v>Brasil</v>
      </c>
      <c r="N2" t="str">
        <f>'- G -'!Q9</f>
        <v>Córeia do Norte</v>
      </c>
      <c r="U2" t="str">
        <f>'- G -'!Q11</f>
        <v>Costa do Marfim</v>
      </c>
      <c r="AB2" t="str">
        <f>'- G -'!Q13</f>
        <v>Portugal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G -'!B6</f>
        <v>Brasil</v>
      </c>
      <c r="B4" s="1">
        <f>'- G -'!C6</f>
        <v>0</v>
      </c>
      <c r="C4" s="1" t="str">
        <f>'- G -'!D6</f>
        <v>-</v>
      </c>
      <c r="D4" s="1">
        <f>'- G -'!E6</f>
        <v>0</v>
      </c>
      <c r="E4" s="3" t="str">
        <f>'- G -'!F6</f>
        <v>Córeia do Norte</v>
      </c>
      <c r="F4" s="1">
        <f>COUNTBLANK('- G -'!C6:'- G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G -'!B7</f>
        <v>Costa do Marfim</v>
      </c>
      <c r="B5" s="1">
        <f>'- G -'!C7</f>
        <v>0</v>
      </c>
      <c r="C5" s="1" t="str">
        <f>'- G -'!D7</f>
        <v>-</v>
      </c>
      <c r="D5" s="1">
        <f>'- G -'!E7</f>
        <v>0</v>
      </c>
      <c r="E5" s="3" t="str">
        <f>'- G -'!F7</f>
        <v>Portugal</v>
      </c>
      <c r="F5" s="1">
        <f>COUNTBLANK('- G -'!C7:'- G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G -'!B8</f>
        <v>Brasil</v>
      </c>
      <c r="B6" s="1">
        <f>'- G -'!C8</f>
        <v>0</v>
      </c>
      <c r="C6" s="1" t="str">
        <f>'- G -'!D8</f>
        <v>-</v>
      </c>
      <c r="D6" s="1">
        <f>'- G -'!E8</f>
        <v>0</v>
      </c>
      <c r="E6" s="3" t="str">
        <f>'- G -'!F8</f>
        <v>Costa do Marfim</v>
      </c>
      <c r="F6" s="1">
        <f>COUNTBLANK('- G -'!C8:'- G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G -'!B9</f>
        <v>Portugal</v>
      </c>
      <c r="B7" s="1">
        <f>'- G -'!C9</f>
        <v>0</v>
      </c>
      <c r="C7" s="1" t="str">
        <f>'- G -'!D9</f>
        <v>-</v>
      </c>
      <c r="D7" s="1">
        <f>'- G -'!E9</f>
        <v>0</v>
      </c>
      <c r="E7" s="3" t="str">
        <f>'- G -'!F9</f>
        <v>Córeia do Norte</v>
      </c>
      <c r="F7" s="1">
        <f>COUNTBLANK('- G -'!C9:'- G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G -'!B10</f>
        <v>Portugal</v>
      </c>
      <c r="B8" s="1">
        <f>'- G -'!C10</f>
        <v>0</v>
      </c>
      <c r="C8" s="1" t="str">
        <f>'- G -'!D10</f>
        <v>-</v>
      </c>
      <c r="D8" s="1">
        <f>'- G -'!E10</f>
        <v>0</v>
      </c>
      <c r="E8" s="3" t="str">
        <f>'- G -'!F10</f>
        <v>Brasil</v>
      </c>
      <c r="F8" s="1">
        <f>COUNTBLANK('- G -'!C10:'- G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G -'!B11</f>
        <v>Córeia do Norte</v>
      </c>
      <c r="B9" s="1">
        <f>'- G -'!C11</f>
        <v>0</v>
      </c>
      <c r="C9" s="1" t="str">
        <f>'- G -'!D11</f>
        <v>-</v>
      </c>
      <c r="D9" s="1">
        <f>'- G -'!E11</f>
        <v>0</v>
      </c>
      <c r="E9" s="3" t="str">
        <f>'- G -'!F11</f>
        <v>Costa do Marfim</v>
      </c>
      <c r="F9" s="1">
        <f>COUNTBLANK('- G -'!C11:'- G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Brasil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Brasil</v>
      </c>
      <c r="P16">
        <f>VLOOKUP(O16,$F$16:$M$25,8,FALSE)</f>
        <v>0</v>
      </c>
      <c r="S16" t="str">
        <f>IF($P16&gt;=$P18,$O16,$O18)</f>
        <v>Brasil</v>
      </c>
      <c r="T16">
        <f>VLOOKUP(S16,$O$16:$P$25,2,FALSE)</f>
        <v>0</v>
      </c>
      <c r="W16" t="str">
        <f>IF($T16&gt;=$T19,$S16,$S19)</f>
        <v>Brasil</v>
      </c>
      <c r="X16">
        <f>VLOOKUP(W16,$S$16:$T$25,2,FALSE)</f>
        <v>0</v>
      </c>
      <c r="AA16" t="str">
        <f>W16</f>
        <v>Brasil</v>
      </c>
      <c r="AB16">
        <f>VLOOKUP(AA16,W16:X25,2,FALSE)</f>
        <v>0</v>
      </c>
      <c r="AE16" t="str">
        <f>AA16</f>
        <v>Brasil</v>
      </c>
      <c r="AF16">
        <f>VLOOKUP(AE16,AA16:AB25,2,FALSE)</f>
        <v>0</v>
      </c>
      <c r="AI16" t="str">
        <f>AE16</f>
        <v>Brasil</v>
      </c>
      <c r="AJ16">
        <f>VLOOKUP(AI16,AE16:AF25,2,FALSE)</f>
        <v>0</v>
      </c>
    </row>
    <row r="17" spans="6:36" ht="12.75">
      <c r="F17" t="str">
        <f>N2</f>
        <v>Córeia do Norte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Córeia do Norte</v>
      </c>
      <c r="P17">
        <f>VLOOKUP(O17,$F$16:$M$25,8,FALSE)</f>
        <v>0</v>
      </c>
      <c r="S17" t="str">
        <f>O17</f>
        <v>Córeia do Norte</v>
      </c>
      <c r="T17">
        <f>VLOOKUP(S17,$O$16:$P$25,2,FALSE)</f>
        <v>0</v>
      </c>
      <c r="W17" t="str">
        <f>S17</f>
        <v>Córeia do Norte</v>
      </c>
      <c r="X17">
        <f>VLOOKUP(W17,$S$16:$T$25,2,FALSE)</f>
        <v>0</v>
      </c>
      <c r="AA17" t="str">
        <f>IF(X17&gt;=X18,W17,W18)</f>
        <v>Córeia do Norte</v>
      </c>
      <c r="AB17">
        <f>VLOOKUP(AA17,W16:X25,2,FALSE)</f>
        <v>0</v>
      </c>
      <c r="AE17" t="str">
        <f>IF(AB17&gt;=AB19,AA17,AA19)</f>
        <v>Córeia do Norte</v>
      </c>
      <c r="AF17">
        <f>VLOOKUP(AE17,AA16:AB25,2,FALSE)</f>
        <v>0</v>
      </c>
      <c r="AI17" t="str">
        <f>AE17</f>
        <v>Córeia do Norte</v>
      </c>
      <c r="AJ17">
        <f>VLOOKUP(AI17,AE16:AF25,2,FALSE)</f>
        <v>0</v>
      </c>
    </row>
    <row r="18" spans="6:36" ht="12.75">
      <c r="F18" t="str">
        <f>U2</f>
        <v>Costa do Marfim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Costa do Marfim</v>
      </c>
      <c r="P18">
        <f>VLOOKUP(O18,$F$16:$M$25,8,FALSE)</f>
        <v>0</v>
      </c>
      <c r="S18" t="str">
        <f>IF($P18&lt;=$P16,$O18,$O16)</f>
        <v>Costa do Marfim</v>
      </c>
      <c r="T18">
        <f>VLOOKUP(S18,$O$16:$P$25,2,FALSE)</f>
        <v>0</v>
      </c>
      <c r="W18" t="str">
        <f>S18</f>
        <v>Costa do Marfim</v>
      </c>
      <c r="X18">
        <f>VLOOKUP(W18,$S$16:$T$25,2,FALSE)</f>
        <v>0</v>
      </c>
      <c r="AA18" t="str">
        <f>IF(X18&lt;=X17,W18,W17)</f>
        <v>Costa do Marfim</v>
      </c>
      <c r="AB18">
        <f>VLOOKUP(AA18,W16:X25,2,FALSE)</f>
        <v>0</v>
      </c>
      <c r="AE18" t="str">
        <f>AA18</f>
        <v>Costa do Marfim</v>
      </c>
      <c r="AF18">
        <f>VLOOKUP(AE18,AA16:AB25,2,FALSE)</f>
        <v>0</v>
      </c>
      <c r="AI18" t="str">
        <f>IF(AF18&gt;=AF19,AE18,AE19)</f>
        <v>Costa do Marfim</v>
      </c>
      <c r="AJ18">
        <f>VLOOKUP(AI18,AE16:AF25,2,FALSE)</f>
        <v>0</v>
      </c>
    </row>
    <row r="19" spans="6:36" ht="12.75">
      <c r="F19" t="str">
        <f>AB2</f>
        <v>Portugal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Portugal</v>
      </c>
      <c r="P19">
        <f>VLOOKUP(O19,$F$16:$M$25,8,FALSE)</f>
        <v>0</v>
      </c>
      <c r="S19" t="str">
        <f>O19</f>
        <v>Portugal</v>
      </c>
      <c r="T19">
        <f>VLOOKUP(S19,$O$16:$P$25,2,FALSE)</f>
        <v>0</v>
      </c>
      <c r="W19" t="str">
        <f>IF($T19&lt;=$T16,$S19,$S16)</f>
        <v>Portugal</v>
      </c>
      <c r="X19">
        <f>VLOOKUP(W19,$S$16:$T$25,2,FALSE)</f>
        <v>0</v>
      </c>
      <c r="AA19" t="str">
        <f>W19</f>
        <v>Portugal</v>
      </c>
      <c r="AB19">
        <f>VLOOKUP(AA19,W16:X25,2,FALSE)</f>
        <v>0</v>
      </c>
      <c r="AE19" t="str">
        <f>IF(AB19&lt;=AB17,AA19,AA17)</f>
        <v>Portugal</v>
      </c>
      <c r="AF19">
        <f>VLOOKUP(AE19,AA16:AB25,2,FALSE)</f>
        <v>0</v>
      </c>
      <c r="AI19" t="str">
        <f>IF(AF19&lt;=AF18,AE19,AE18)</f>
        <v>Portugal</v>
      </c>
      <c r="AJ19">
        <f>VLOOKUP(AI19,AE16:AF25,2,FALSE)</f>
        <v>0</v>
      </c>
    </row>
    <row r="28" spans="6:37" ht="12.75">
      <c r="F28" t="str">
        <f>AI16</f>
        <v>Brasil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Brasil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Brasil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Brasil</v>
      </c>
      <c r="X28">
        <f>VLOOKUP(W28,$S$28:$U$37,2,FALSE)</f>
        <v>0</v>
      </c>
      <c r="Y28">
        <f>VLOOKUP(W28,$S$28:$U$37,3,FALSE)</f>
        <v>0</v>
      </c>
      <c r="AA28" t="str">
        <f>W28</f>
        <v>Brasil</v>
      </c>
      <c r="AB28">
        <f>VLOOKUP(AA28,W28:Y37,2,FALSE)</f>
        <v>0</v>
      </c>
      <c r="AC28">
        <f>VLOOKUP(AA28,W28:Y37,3,FALSE)</f>
        <v>0</v>
      </c>
      <c r="AE28" t="str">
        <f>AA28</f>
        <v>Brasil</v>
      </c>
      <c r="AF28">
        <f>VLOOKUP(AE28,AA28:AC37,2,FALSE)</f>
        <v>0</v>
      </c>
      <c r="AG28">
        <f>VLOOKUP(AE28,AA28:AC37,3,FALSE)</f>
        <v>0</v>
      </c>
      <c r="AI28" t="str">
        <f>AE28</f>
        <v>Brasil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Córeia do Norte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Córeia do Norte</v>
      </c>
      <c r="P29">
        <f>VLOOKUP(O29,$F$28:$M$37,5,FALSE)</f>
        <v>0</v>
      </c>
      <c r="Q29">
        <f>VLOOKUP(O29,$F$28:$M$37,8,FALSE)</f>
        <v>0</v>
      </c>
      <c r="S29" t="str">
        <f>O29</f>
        <v>Córeia do Norte</v>
      </c>
      <c r="T29">
        <f>VLOOKUP(S29,$O$28:$Q$37,2,FALSE)</f>
        <v>0</v>
      </c>
      <c r="U29">
        <f>VLOOKUP(S29,$O$28:$Q$37,3,FALSE)</f>
        <v>0</v>
      </c>
      <c r="W29" t="str">
        <f>S29</f>
        <v>Córeia do Norte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Córeia do Norte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Córeia do Norte</v>
      </c>
      <c r="AF29">
        <f>VLOOKUP(AE29,AA28:AC37,2,FALSE)</f>
        <v>0</v>
      </c>
      <c r="AG29">
        <f>VLOOKUP(AE29,AA28:AC37,3,FALSE)</f>
        <v>0</v>
      </c>
      <c r="AI29" t="str">
        <f>AE29</f>
        <v>Córeia do Norte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Costa do Marfim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Costa do Marfim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Costa do Marfim</v>
      </c>
      <c r="T30">
        <f>VLOOKUP(S30,$O$28:$Q$37,2,FALSE)</f>
        <v>0</v>
      </c>
      <c r="U30">
        <f>VLOOKUP(S30,$O$28:$Q$37,3,FALSE)</f>
        <v>0</v>
      </c>
      <c r="W30" t="str">
        <f>S30</f>
        <v>Costa do Marfim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Costa do Marfim</v>
      </c>
      <c r="AB30">
        <f>VLOOKUP(AA30,W28:Y37,2,FALSE)</f>
        <v>0</v>
      </c>
      <c r="AC30">
        <f>VLOOKUP(AA30,W28:Y37,3,FALSE)</f>
        <v>0</v>
      </c>
      <c r="AE30" t="str">
        <f>AA30</f>
        <v>Costa do Marfim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Costa do Marfim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Portugal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Portugal</v>
      </c>
      <c r="P31">
        <f>VLOOKUP(O31,$F$28:$M$37,5,FALSE)</f>
        <v>0</v>
      </c>
      <c r="Q31">
        <f>VLOOKUP(O31,$F$28:$M$37,8,FALSE)</f>
        <v>0</v>
      </c>
      <c r="S31" t="str">
        <f>O31</f>
        <v>Portugal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Portugal</v>
      </c>
      <c r="X31">
        <f>VLOOKUP(W31,$S$28:$U$37,2,FALSE)</f>
        <v>0</v>
      </c>
      <c r="Y31">
        <f>VLOOKUP(W31,$S$28:$U$37,3,FALSE)</f>
        <v>0</v>
      </c>
      <c r="AA31" t="str">
        <f>W31</f>
        <v>Portugal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Portugal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Portugal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Brasil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Brasil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Brasil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Brasil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Brasil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Brasil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Brasil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Córeia do Norte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Córeia do Norte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Córeia do Norte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Córeia do Norte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Córeia do Norte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Córeia do Norte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Córeia do Norte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Costa do Marfim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Costa do Marfim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Costa do Marfim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Costa do Marfim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Costa do Marfim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Costa do Marfim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Costa do Marfim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Portugal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Portugal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Portugal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Portugal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Portugal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Portugal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Portugal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Brasil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Córeia do Norte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Costa do Marfim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Portugal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F -'!Q7</f>
        <v>Itália</v>
      </c>
      <c r="N2" t="str">
        <f>'- F -'!Q9</f>
        <v>Paraguai</v>
      </c>
      <c r="U2" t="str">
        <f>'- F -'!Q11</f>
        <v>Nova Zelândia</v>
      </c>
      <c r="AB2" t="str">
        <f>'- F -'!Q13</f>
        <v>Eslovaquia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F -'!B6</f>
        <v>Itália</v>
      </c>
      <c r="B4" s="1">
        <f>'- F -'!C6</f>
        <v>0</v>
      </c>
      <c r="C4" s="1" t="str">
        <f>'- F -'!D6</f>
        <v>-</v>
      </c>
      <c r="D4" s="1">
        <f>'- F -'!E6</f>
        <v>0</v>
      </c>
      <c r="E4" s="3" t="str">
        <f>'- F -'!F6</f>
        <v>Paraguai</v>
      </c>
      <c r="F4" s="1">
        <f>COUNTBLANK('- F -'!C6:'- F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F -'!B7</f>
        <v>Nova Zelândia</v>
      </c>
      <c r="B5" s="1">
        <f>'- F -'!C7</f>
        <v>0</v>
      </c>
      <c r="C5" s="1" t="str">
        <f>'- F -'!D7</f>
        <v>-</v>
      </c>
      <c r="D5" s="1">
        <f>'- F -'!E7</f>
        <v>0</v>
      </c>
      <c r="E5" s="3" t="str">
        <f>'- F -'!F7</f>
        <v>Eslovaquia</v>
      </c>
      <c r="F5" s="1">
        <f>COUNTBLANK('- F -'!C7:'- F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F -'!B8</f>
        <v>Itália</v>
      </c>
      <c r="B6" s="1">
        <f>'- F -'!C8</f>
        <v>0</v>
      </c>
      <c r="C6" s="1" t="str">
        <f>'- F -'!D8</f>
        <v>-</v>
      </c>
      <c r="D6" s="1">
        <f>'- F -'!E8</f>
        <v>0</v>
      </c>
      <c r="E6" s="3" t="str">
        <f>'- F -'!F8</f>
        <v>Nova Zelândia</v>
      </c>
      <c r="F6" s="1">
        <f>COUNTBLANK('- F -'!C8:'- F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F -'!B9</f>
        <v>Eslovaquia</v>
      </c>
      <c r="B7" s="1">
        <f>'- F -'!C9</f>
        <v>0</v>
      </c>
      <c r="C7" s="1" t="str">
        <f>'- F -'!D9</f>
        <v>-</v>
      </c>
      <c r="D7" s="1">
        <f>'- F -'!E9</f>
        <v>0</v>
      </c>
      <c r="E7" s="3" t="str">
        <f>'- F -'!F9</f>
        <v>Paraguai</v>
      </c>
      <c r="F7" s="1">
        <f>COUNTBLANK('- F -'!C9:'- F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F -'!B10</f>
        <v>Eslovaquia</v>
      </c>
      <c r="B8" s="1">
        <f>'- F -'!C10</f>
        <v>0</v>
      </c>
      <c r="C8" s="1" t="str">
        <f>'- F -'!D10</f>
        <v>-</v>
      </c>
      <c r="D8" s="1">
        <f>'- F -'!E10</f>
        <v>0</v>
      </c>
      <c r="E8" s="3" t="str">
        <f>'- F -'!F10</f>
        <v>Itália</v>
      </c>
      <c r="F8" s="1">
        <f>COUNTBLANK('- F -'!C10:'- F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F -'!B11</f>
        <v>Paraguai</v>
      </c>
      <c r="B9" s="1">
        <f>'- F -'!C11</f>
        <v>0</v>
      </c>
      <c r="C9" s="1" t="str">
        <f>'- F -'!D11</f>
        <v>-</v>
      </c>
      <c r="D9" s="1">
        <f>'- F -'!E11</f>
        <v>0</v>
      </c>
      <c r="E9" s="3" t="str">
        <f>'- F -'!F11</f>
        <v>Nova Zelândia</v>
      </c>
      <c r="F9" s="1">
        <f>COUNTBLANK('- F -'!C11:'- F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Itália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Itália</v>
      </c>
      <c r="P16">
        <f>VLOOKUP(O16,$F$16:$M$25,8,FALSE)</f>
        <v>0</v>
      </c>
      <c r="S16" t="str">
        <f>IF($P16&gt;=$P18,$O16,$O18)</f>
        <v>Itália</v>
      </c>
      <c r="T16">
        <f>VLOOKUP(S16,$O$16:$P$25,2,FALSE)</f>
        <v>0</v>
      </c>
      <c r="W16" t="str">
        <f>IF($T16&gt;=$T19,$S16,$S19)</f>
        <v>Itália</v>
      </c>
      <c r="X16">
        <f>VLOOKUP(W16,$S$16:$T$25,2,FALSE)</f>
        <v>0</v>
      </c>
      <c r="AA16" t="str">
        <f>W16</f>
        <v>Itália</v>
      </c>
      <c r="AB16">
        <f>VLOOKUP(AA16,W16:X25,2,FALSE)</f>
        <v>0</v>
      </c>
      <c r="AE16" t="str">
        <f>AA16</f>
        <v>Itália</v>
      </c>
      <c r="AF16">
        <f>VLOOKUP(AE16,AA16:AB25,2,FALSE)</f>
        <v>0</v>
      </c>
      <c r="AI16" t="str">
        <f>AE16</f>
        <v>Itália</v>
      </c>
      <c r="AJ16">
        <f>VLOOKUP(AI16,AE16:AF25,2,FALSE)</f>
        <v>0</v>
      </c>
    </row>
    <row r="17" spans="6:36" ht="12.75">
      <c r="F17" t="str">
        <f>N2</f>
        <v>Paraguai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Paraguai</v>
      </c>
      <c r="P17">
        <f>VLOOKUP(O17,$F$16:$M$25,8,FALSE)</f>
        <v>0</v>
      </c>
      <c r="S17" t="str">
        <f>O17</f>
        <v>Paraguai</v>
      </c>
      <c r="T17">
        <f>VLOOKUP(S17,$O$16:$P$25,2,FALSE)</f>
        <v>0</v>
      </c>
      <c r="W17" t="str">
        <f>S17</f>
        <v>Paraguai</v>
      </c>
      <c r="X17">
        <f>VLOOKUP(W17,$S$16:$T$25,2,FALSE)</f>
        <v>0</v>
      </c>
      <c r="AA17" t="str">
        <f>IF(X17&gt;=X18,W17,W18)</f>
        <v>Paraguai</v>
      </c>
      <c r="AB17">
        <f>VLOOKUP(AA17,W16:X25,2,FALSE)</f>
        <v>0</v>
      </c>
      <c r="AE17" t="str">
        <f>IF(AB17&gt;=AB19,AA17,AA19)</f>
        <v>Paraguai</v>
      </c>
      <c r="AF17">
        <f>VLOOKUP(AE17,AA16:AB25,2,FALSE)</f>
        <v>0</v>
      </c>
      <c r="AI17" t="str">
        <f>AE17</f>
        <v>Paraguai</v>
      </c>
      <c r="AJ17">
        <f>VLOOKUP(AI17,AE16:AF25,2,FALSE)</f>
        <v>0</v>
      </c>
    </row>
    <row r="18" spans="6:36" ht="12.75">
      <c r="F18" t="str">
        <f>U2</f>
        <v>Nova Zelândia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Nova Zelândia</v>
      </c>
      <c r="P18">
        <f>VLOOKUP(O18,$F$16:$M$25,8,FALSE)</f>
        <v>0</v>
      </c>
      <c r="S18" t="str">
        <f>IF($P18&lt;=$P16,$O18,$O16)</f>
        <v>Nova Zelândia</v>
      </c>
      <c r="T18">
        <f>VLOOKUP(S18,$O$16:$P$25,2,FALSE)</f>
        <v>0</v>
      </c>
      <c r="W18" t="str">
        <f>S18</f>
        <v>Nova Zelândia</v>
      </c>
      <c r="X18">
        <f>VLOOKUP(W18,$S$16:$T$25,2,FALSE)</f>
        <v>0</v>
      </c>
      <c r="AA18" t="str">
        <f>IF(X18&lt;=X17,W18,W17)</f>
        <v>Nova Zelândia</v>
      </c>
      <c r="AB18">
        <f>VLOOKUP(AA18,W16:X25,2,FALSE)</f>
        <v>0</v>
      </c>
      <c r="AE18" t="str">
        <f>AA18</f>
        <v>Nova Zelândia</v>
      </c>
      <c r="AF18">
        <f>VLOOKUP(AE18,AA16:AB25,2,FALSE)</f>
        <v>0</v>
      </c>
      <c r="AI18" t="str">
        <f>IF(AF18&gt;=AF19,AE18,AE19)</f>
        <v>Nova Zelândia</v>
      </c>
      <c r="AJ18">
        <f>VLOOKUP(AI18,AE16:AF25,2,FALSE)</f>
        <v>0</v>
      </c>
    </row>
    <row r="19" spans="6:36" ht="12.75">
      <c r="F19" t="str">
        <f>AB2</f>
        <v>Eslovaquia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Eslovaquia</v>
      </c>
      <c r="P19">
        <f>VLOOKUP(O19,$F$16:$M$25,8,FALSE)</f>
        <v>0</v>
      </c>
      <c r="S19" t="str">
        <f>O19</f>
        <v>Eslovaquia</v>
      </c>
      <c r="T19">
        <f>VLOOKUP(S19,$O$16:$P$25,2,FALSE)</f>
        <v>0</v>
      </c>
      <c r="W19" t="str">
        <f>IF($T19&lt;=$T16,$S19,$S16)</f>
        <v>Eslovaquia</v>
      </c>
      <c r="X19">
        <f>VLOOKUP(W19,$S$16:$T$25,2,FALSE)</f>
        <v>0</v>
      </c>
      <c r="AA19" t="str">
        <f>W19</f>
        <v>Eslovaquia</v>
      </c>
      <c r="AB19">
        <f>VLOOKUP(AA19,W16:X25,2,FALSE)</f>
        <v>0</v>
      </c>
      <c r="AE19" t="str">
        <f>IF(AB19&lt;=AB17,AA19,AA17)</f>
        <v>Eslovaquia</v>
      </c>
      <c r="AF19">
        <f>VLOOKUP(AE19,AA16:AB25,2,FALSE)</f>
        <v>0</v>
      </c>
      <c r="AI19" t="str">
        <f>IF(AF19&lt;=AF18,AE19,AE18)</f>
        <v>Eslovaquia</v>
      </c>
      <c r="AJ19">
        <f>VLOOKUP(AI19,AE16:AF25,2,FALSE)</f>
        <v>0</v>
      </c>
    </row>
    <row r="28" spans="6:37" ht="12.75">
      <c r="F28" t="str">
        <f>AI16</f>
        <v>Itália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Itália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Itália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Itália</v>
      </c>
      <c r="X28">
        <f>VLOOKUP(W28,$S$28:$U$37,2,FALSE)</f>
        <v>0</v>
      </c>
      <c r="Y28">
        <f>VLOOKUP(W28,$S$28:$U$37,3,FALSE)</f>
        <v>0</v>
      </c>
      <c r="AA28" t="str">
        <f>W28</f>
        <v>Itália</v>
      </c>
      <c r="AB28">
        <f>VLOOKUP(AA28,W28:Y37,2,FALSE)</f>
        <v>0</v>
      </c>
      <c r="AC28">
        <f>VLOOKUP(AA28,W28:Y37,3,FALSE)</f>
        <v>0</v>
      </c>
      <c r="AE28" t="str">
        <f>AA28</f>
        <v>Itália</v>
      </c>
      <c r="AF28">
        <f>VLOOKUP(AE28,AA28:AC37,2,FALSE)</f>
        <v>0</v>
      </c>
      <c r="AG28">
        <f>VLOOKUP(AE28,AA28:AC37,3,FALSE)</f>
        <v>0</v>
      </c>
      <c r="AI28" t="str">
        <f>AE28</f>
        <v>Itália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Paraguai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Paraguai</v>
      </c>
      <c r="P29">
        <f>VLOOKUP(O29,$F$28:$M$37,5,FALSE)</f>
        <v>0</v>
      </c>
      <c r="Q29">
        <f>VLOOKUP(O29,$F$28:$M$37,8,FALSE)</f>
        <v>0</v>
      </c>
      <c r="S29" t="str">
        <f>O29</f>
        <v>Paraguai</v>
      </c>
      <c r="T29">
        <f>VLOOKUP(S29,$O$28:$Q$37,2,FALSE)</f>
        <v>0</v>
      </c>
      <c r="U29">
        <f>VLOOKUP(S29,$O$28:$Q$37,3,FALSE)</f>
        <v>0</v>
      </c>
      <c r="W29" t="str">
        <f>S29</f>
        <v>Paraguai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Paraguai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Paraguai</v>
      </c>
      <c r="AF29">
        <f>VLOOKUP(AE29,AA28:AC37,2,FALSE)</f>
        <v>0</v>
      </c>
      <c r="AG29">
        <f>VLOOKUP(AE29,AA28:AC37,3,FALSE)</f>
        <v>0</v>
      </c>
      <c r="AI29" t="str">
        <f>AE29</f>
        <v>Paraguai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Nova Zelândia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Nova Zelândia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Nova Zelândia</v>
      </c>
      <c r="T30">
        <f>VLOOKUP(S30,$O$28:$Q$37,2,FALSE)</f>
        <v>0</v>
      </c>
      <c r="U30">
        <f>VLOOKUP(S30,$O$28:$Q$37,3,FALSE)</f>
        <v>0</v>
      </c>
      <c r="W30" t="str">
        <f>S30</f>
        <v>Nova Zelândia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Nova Zelândia</v>
      </c>
      <c r="AB30">
        <f>VLOOKUP(AA30,W28:Y37,2,FALSE)</f>
        <v>0</v>
      </c>
      <c r="AC30">
        <f>VLOOKUP(AA30,W28:Y37,3,FALSE)</f>
        <v>0</v>
      </c>
      <c r="AE30" t="str">
        <f>AA30</f>
        <v>Nova Zelândia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Nova Zelândia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Eslovaquia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Eslovaquia</v>
      </c>
      <c r="P31">
        <f>VLOOKUP(O31,$F$28:$M$37,5,FALSE)</f>
        <v>0</v>
      </c>
      <c r="Q31">
        <f>VLOOKUP(O31,$F$28:$M$37,8,FALSE)</f>
        <v>0</v>
      </c>
      <c r="S31" t="str">
        <f>O31</f>
        <v>Eslovaquia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Eslovaquia</v>
      </c>
      <c r="X31">
        <f>VLOOKUP(W31,$S$28:$U$37,2,FALSE)</f>
        <v>0</v>
      </c>
      <c r="Y31">
        <f>VLOOKUP(W31,$S$28:$U$37,3,FALSE)</f>
        <v>0</v>
      </c>
      <c r="AA31" t="str">
        <f>W31</f>
        <v>Eslovaquia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Eslovaquia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Eslovaquia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Itália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Itália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Itália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Itália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Itália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Itália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Itália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Paraguai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Paraguai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Paraguai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Paraguai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Paraguai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Paraguai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Paraguai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Nova Zelândia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Nova Zelândia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Nova Zelândia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Nova Zelândia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Nova Zelândia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Nova Zelândia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Nova Zelândia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Eslovaquia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Eslovaquia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Eslovaquia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Eslovaquia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Eslovaquia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Eslovaquia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Eslovaquia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Itália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Paraguai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Nova Zelândia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Eslovaquia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E -'!Q7</f>
        <v>Holanda</v>
      </c>
      <c r="N2" t="str">
        <f>'- E -'!Q9</f>
        <v>Dinamarca</v>
      </c>
      <c r="U2" t="str">
        <f>'- E -'!Q11</f>
        <v>Japão</v>
      </c>
      <c r="AB2" t="str">
        <f>'- E -'!Q13</f>
        <v>Camarões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E -'!B6</f>
        <v>Holanda</v>
      </c>
      <c r="B4" s="1">
        <f>'- E -'!C6</f>
        <v>0</v>
      </c>
      <c r="C4" s="1" t="str">
        <f>'- E -'!D6</f>
        <v>-</v>
      </c>
      <c r="D4" s="1">
        <f>'- E -'!E6</f>
        <v>0</v>
      </c>
      <c r="E4" s="3" t="str">
        <f>'- E -'!F6</f>
        <v>Dinamarca</v>
      </c>
      <c r="F4" s="1">
        <f>COUNTBLANK('- E -'!C6:'- E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E -'!B7</f>
        <v>Japão</v>
      </c>
      <c r="B5" s="1">
        <f>'- E -'!C7</f>
        <v>0</v>
      </c>
      <c r="C5" s="1" t="str">
        <f>'- E -'!D7</f>
        <v>-</v>
      </c>
      <c r="D5" s="1">
        <f>'- E -'!E7</f>
        <v>0</v>
      </c>
      <c r="E5" s="3" t="str">
        <f>'- E -'!F7</f>
        <v>Camarões</v>
      </c>
      <c r="F5" s="1">
        <f>COUNTBLANK('- E -'!C7:'- E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E -'!B8</f>
        <v>Holanda</v>
      </c>
      <c r="B6" s="1">
        <f>'- E -'!C8</f>
        <v>0</v>
      </c>
      <c r="C6" s="1" t="str">
        <f>'- E -'!D8</f>
        <v>-</v>
      </c>
      <c r="D6" s="1">
        <f>'- E -'!E8</f>
        <v>0</v>
      </c>
      <c r="E6" s="3" t="str">
        <f>'- E -'!F8</f>
        <v>Japão</v>
      </c>
      <c r="F6" s="1">
        <f>COUNTBLANK('- E -'!C8:'- E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E -'!B9</f>
        <v>Camarões</v>
      </c>
      <c r="B7" s="1">
        <f>'- E -'!C9</f>
        <v>0</v>
      </c>
      <c r="C7" s="1" t="str">
        <f>'- E -'!D9</f>
        <v>-</v>
      </c>
      <c r="D7" s="1">
        <f>'- E -'!E9</f>
        <v>0</v>
      </c>
      <c r="E7" s="3" t="str">
        <f>'- E -'!F9</f>
        <v>Dinamarca</v>
      </c>
      <c r="F7" s="1">
        <f>COUNTBLANK('- E -'!C9:'- E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E -'!B10</f>
        <v>Camarões</v>
      </c>
      <c r="B8" s="1">
        <f>'- E -'!C10</f>
        <v>0</v>
      </c>
      <c r="C8" s="1" t="str">
        <f>'- E -'!D10</f>
        <v>-</v>
      </c>
      <c r="D8" s="1">
        <f>'- E -'!E10</f>
        <v>0</v>
      </c>
      <c r="E8" s="3" t="str">
        <f>'- E -'!F10</f>
        <v>Holanda</v>
      </c>
      <c r="F8" s="1">
        <f>COUNTBLANK('- E -'!C10:'- E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E -'!B11</f>
        <v>Dinamarca</v>
      </c>
      <c r="B9" s="1">
        <f>'- E -'!C11</f>
        <v>0</v>
      </c>
      <c r="C9" s="1" t="str">
        <f>'- E -'!D11</f>
        <v>-</v>
      </c>
      <c r="D9" s="1">
        <f>'- E -'!E11</f>
        <v>0</v>
      </c>
      <c r="E9" s="3" t="str">
        <f>'- E -'!F11</f>
        <v>Japão</v>
      </c>
      <c r="F9" s="1">
        <f>COUNTBLANK('- E -'!C11:'- E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Holanda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Holanda</v>
      </c>
      <c r="P16">
        <f>VLOOKUP(O16,$F$16:$M$25,8,FALSE)</f>
        <v>0</v>
      </c>
      <c r="S16" t="str">
        <f>IF($P16&gt;=$P18,$O16,$O18)</f>
        <v>Holanda</v>
      </c>
      <c r="T16">
        <f>VLOOKUP(S16,$O$16:$P$25,2,FALSE)</f>
        <v>0</v>
      </c>
      <c r="W16" t="str">
        <f>IF($T16&gt;=$T19,$S16,$S19)</f>
        <v>Holanda</v>
      </c>
      <c r="X16">
        <f>VLOOKUP(W16,$S$16:$T$25,2,FALSE)</f>
        <v>0</v>
      </c>
      <c r="AA16" t="str">
        <f>W16</f>
        <v>Holanda</v>
      </c>
      <c r="AB16">
        <f>VLOOKUP(AA16,W16:X25,2,FALSE)</f>
        <v>0</v>
      </c>
      <c r="AE16" t="str">
        <f>AA16</f>
        <v>Holanda</v>
      </c>
      <c r="AF16">
        <f>VLOOKUP(AE16,AA16:AB25,2,FALSE)</f>
        <v>0</v>
      </c>
      <c r="AI16" t="str">
        <f>AE16</f>
        <v>Holanda</v>
      </c>
      <c r="AJ16">
        <f>VLOOKUP(AI16,AE16:AF25,2,FALSE)</f>
        <v>0</v>
      </c>
    </row>
    <row r="17" spans="6:36" ht="12.75">
      <c r="F17" t="str">
        <f>N2</f>
        <v>Dinamarca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Dinamarca</v>
      </c>
      <c r="P17">
        <f>VLOOKUP(O17,$F$16:$M$25,8,FALSE)</f>
        <v>0</v>
      </c>
      <c r="S17" t="str">
        <f>O17</f>
        <v>Dinamarca</v>
      </c>
      <c r="T17">
        <f>VLOOKUP(S17,$O$16:$P$25,2,FALSE)</f>
        <v>0</v>
      </c>
      <c r="W17" t="str">
        <f>S17</f>
        <v>Dinamarca</v>
      </c>
      <c r="X17">
        <f>VLOOKUP(W17,$S$16:$T$25,2,FALSE)</f>
        <v>0</v>
      </c>
      <c r="AA17" t="str">
        <f>IF(X17&gt;=X18,W17,W18)</f>
        <v>Dinamarca</v>
      </c>
      <c r="AB17">
        <f>VLOOKUP(AA17,W16:X25,2,FALSE)</f>
        <v>0</v>
      </c>
      <c r="AE17" t="str">
        <f>IF(AB17&gt;=AB19,AA17,AA19)</f>
        <v>Dinamarca</v>
      </c>
      <c r="AF17">
        <f>VLOOKUP(AE17,AA16:AB25,2,FALSE)</f>
        <v>0</v>
      </c>
      <c r="AI17" t="str">
        <f>AE17</f>
        <v>Dinamarca</v>
      </c>
      <c r="AJ17">
        <f>VLOOKUP(AI17,AE16:AF25,2,FALSE)</f>
        <v>0</v>
      </c>
    </row>
    <row r="18" spans="6:36" ht="12.75">
      <c r="F18" t="str">
        <f>U2</f>
        <v>Japão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Japão</v>
      </c>
      <c r="P18">
        <f>VLOOKUP(O18,$F$16:$M$25,8,FALSE)</f>
        <v>0</v>
      </c>
      <c r="S18" t="str">
        <f>IF($P18&lt;=$P16,$O18,$O16)</f>
        <v>Japão</v>
      </c>
      <c r="T18">
        <f>VLOOKUP(S18,$O$16:$P$25,2,FALSE)</f>
        <v>0</v>
      </c>
      <c r="W18" t="str">
        <f>S18</f>
        <v>Japão</v>
      </c>
      <c r="X18">
        <f>VLOOKUP(W18,$S$16:$T$25,2,FALSE)</f>
        <v>0</v>
      </c>
      <c r="AA18" t="str">
        <f>IF(X18&lt;=X17,W18,W17)</f>
        <v>Japão</v>
      </c>
      <c r="AB18">
        <f>VLOOKUP(AA18,W16:X25,2,FALSE)</f>
        <v>0</v>
      </c>
      <c r="AE18" t="str">
        <f>AA18</f>
        <v>Japão</v>
      </c>
      <c r="AF18">
        <f>VLOOKUP(AE18,AA16:AB25,2,FALSE)</f>
        <v>0</v>
      </c>
      <c r="AI18" t="str">
        <f>IF(AF18&gt;=AF19,AE18,AE19)</f>
        <v>Japão</v>
      </c>
      <c r="AJ18">
        <f>VLOOKUP(AI18,AE16:AF25,2,FALSE)</f>
        <v>0</v>
      </c>
    </row>
    <row r="19" spans="6:36" ht="12.75">
      <c r="F19" t="str">
        <f>AB2</f>
        <v>Camarões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Camarões</v>
      </c>
      <c r="P19">
        <f>VLOOKUP(O19,$F$16:$M$25,8,FALSE)</f>
        <v>0</v>
      </c>
      <c r="S19" t="str">
        <f>O19</f>
        <v>Camarões</v>
      </c>
      <c r="T19">
        <f>VLOOKUP(S19,$O$16:$P$25,2,FALSE)</f>
        <v>0</v>
      </c>
      <c r="W19" t="str">
        <f>IF($T19&lt;=$T16,$S19,$S16)</f>
        <v>Camarões</v>
      </c>
      <c r="X19">
        <f>VLOOKUP(W19,$S$16:$T$25,2,FALSE)</f>
        <v>0</v>
      </c>
      <c r="AA19" t="str">
        <f>W19</f>
        <v>Camarões</v>
      </c>
      <c r="AB19">
        <f>VLOOKUP(AA19,W16:X25,2,FALSE)</f>
        <v>0</v>
      </c>
      <c r="AE19" t="str">
        <f>IF(AB19&lt;=AB17,AA19,AA17)</f>
        <v>Camarões</v>
      </c>
      <c r="AF19">
        <f>VLOOKUP(AE19,AA16:AB25,2,FALSE)</f>
        <v>0</v>
      </c>
      <c r="AI19" t="str">
        <f>IF(AF19&lt;=AF18,AE19,AE18)</f>
        <v>Camarões</v>
      </c>
      <c r="AJ19">
        <f>VLOOKUP(AI19,AE16:AF25,2,FALSE)</f>
        <v>0</v>
      </c>
    </row>
    <row r="28" spans="6:37" ht="12.75">
      <c r="F28" t="str">
        <f>AI16</f>
        <v>Holanda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Holanda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Holanda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Holanda</v>
      </c>
      <c r="X28">
        <f>VLOOKUP(W28,$S$28:$U$37,2,FALSE)</f>
        <v>0</v>
      </c>
      <c r="Y28">
        <f>VLOOKUP(W28,$S$28:$U$37,3,FALSE)</f>
        <v>0</v>
      </c>
      <c r="AA28" t="str">
        <f>W28</f>
        <v>Holanda</v>
      </c>
      <c r="AB28">
        <f>VLOOKUP(AA28,W28:Y37,2,FALSE)</f>
        <v>0</v>
      </c>
      <c r="AC28">
        <f>VLOOKUP(AA28,W28:Y37,3,FALSE)</f>
        <v>0</v>
      </c>
      <c r="AE28" t="str">
        <f>AA28</f>
        <v>Holanda</v>
      </c>
      <c r="AF28">
        <f>VLOOKUP(AE28,AA28:AC37,2,FALSE)</f>
        <v>0</v>
      </c>
      <c r="AG28">
        <f>VLOOKUP(AE28,AA28:AC37,3,FALSE)</f>
        <v>0</v>
      </c>
      <c r="AI28" t="str">
        <f>AE28</f>
        <v>Holanda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Dinamarca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Dinamarca</v>
      </c>
      <c r="P29">
        <f>VLOOKUP(O29,$F$28:$M$37,5,FALSE)</f>
        <v>0</v>
      </c>
      <c r="Q29">
        <f>VLOOKUP(O29,$F$28:$M$37,8,FALSE)</f>
        <v>0</v>
      </c>
      <c r="S29" t="str">
        <f>O29</f>
        <v>Dinamarca</v>
      </c>
      <c r="T29">
        <f>VLOOKUP(S29,$O$28:$Q$37,2,FALSE)</f>
        <v>0</v>
      </c>
      <c r="U29">
        <f>VLOOKUP(S29,$O$28:$Q$37,3,FALSE)</f>
        <v>0</v>
      </c>
      <c r="W29" t="str">
        <f>S29</f>
        <v>Dinamarca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Dinamarca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Dinamarca</v>
      </c>
      <c r="AF29">
        <f>VLOOKUP(AE29,AA28:AC37,2,FALSE)</f>
        <v>0</v>
      </c>
      <c r="AG29">
        <f>VLOOKUP(AE29,AA28:AC37,3,FALSE)</f>
        <v>0</v>
      </c>
      <c r="AI29" t="str">
        <f>AE29</f>
        <v>Dinamarca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Japão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Japão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Japão</v>
      </c>
      <c r="T30">
        <f>VLOOKUP(S30,$O$28:$Q$37,2,FALSE)</f>
        <v>0</v>
      </c>
      <c r="U30">
        <f>VLOOKUP(S30,$O$28:$Q$37,3,FALSE)</f>
        <v>0</v>
      </c>
      <c r="W30" t="str">
        <f>S30</f>
        <v>Japão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Japão</v>
      </c>
      <c r="AB30">
        <f>VLOOKUP(AA30,W28:Y37,2,FALSE)</f>
        <v>0</v>
      </c>
      <c r="AC30">
        <f>VLOOKUP(AA30,W28:Y37,3,FALSE)</f>
        <v>0</v>
      </c>
      <c r="AE30" t="str">
        <f>AA30</f>
        <v>Japão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Japão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Camarões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Camarões</v>
      </c>
      <c r="P31">
        <f>VLOOKUP(O31,$F$28:$M$37,5,FALSE)</f>
        <v>0</v>
      </c>
      <c r="Q31">
        <f>VLOOKUP(O31,$F$28:$M$37,8,FALSE)</f>
        <v>0</v>
      </c>
      <c r="S31" t="str">
        <f>O31</f>
        <v>Camarões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Camarões</v>
      </c>
      <c r="X31">
        <f>VLOOKUP(W31,$S$28:$U$37,2,FALSE)</f>
        <v>0</v>
      </c>
      <c r="Y31">
        <f>VLOOKUP(W31,$S$28:$U$37,3,FALSE)</f>
        <v>0</v>
      </c>
      <c r="AA31" t="str">
        <f>W31</f>
        <v>Camarões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Camarões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Camarões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Holanda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Holanda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Holanda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Holanda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Holanda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Holanda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Holanda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Dinamarca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Dinamarca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Dinamarca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Dinamarca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Dinamarca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Dinamarca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Dinamarca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Japão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Japão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Japão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Japão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Japão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Japão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Japão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Camarões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Camarões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Camarões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Camarões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Camarões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Camarões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Camarões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Holanda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Dinamarca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Japão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Camarões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RowColHeaders="0" showOutlineSymbols="0" zoomScalePageLayoutView="0" workbookViewId="0" topLeftCell="A1">
      <selection activeCell="F30" sqref="F30:G30"/>
    </sheetView>
  </sheetViews>
  <sheetFormatPr defaultColWidth="11.421875" defaultRowHeight="12.75"/>
  <cols>
    <col min="1" max="16384" width="11.421875" style="118" customWidth="1"/>
  </cols>
  <sheetData>
    <row r="1" spans="1:12" ht="32.25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3" spans="1:12" ht="12.75">
      <c r="A3" s="205" t="s">
        <v>109</v>
      </c>
      <c r="B3" s="205"/>
      <c r="C3" s="205"/>
      <c r="D3" s="205" t="s">
        <v>110</v>
      </c>
      <c r="E3" s="205"/>
      <c r="F3" s="205"/>
      <c r="G3" s="205" t="s">
        <v>111</v>
      </c>
      <c r="H3" s="205"/>
      <c r="I3" s="205"/>
      <c r="J3" s="205" t="s">
        <v>111</v>
      </c>
      <c r="K3" s="205"/>
      <c r="L3" s="205"/>
    </row>
    <row r="12" spans="1:12" ht="12.75">
      <c r="A12" s="205" t="s">
        <v>112</v>
      </c>
      <c r="B12" s="205"/>
      <c r="C12" s="205"/>
      <c r="D12" s="205" t="s">
        <v>113</v>
      </c>
      <c r="E12" s="205"/>
      <c r="F12" s="205"/>
      <c r="G12" s="205" t="s">
        <v>114</v>
      </c>
      <c r="H12" s="205"/>
      <c r="I12" s="205"/>
      <c r="J12" s="205" t="s">
        <v>115</v>
      </c>
      <c r="K12" s="205"/>
      <c r="L12" s="205"/>
    </row>
    <row r="21" spans="1:12" ht="12.75">
      <c r="A21" s="205" t="s">
        <v>116</v>
      </c>
      <c r="B21" s="205"/>
      <c r="C21" s="205"/>
      <c r="D21" s="205" t="s">
        <v>117</v>
      </c>
      <c r="E21" s="205"/>
      <c r="F21" s="205"/>
      <c r="G21" s="205"/>
      <c r="H21" s="205"/>
      <c r="I21" s="205"/>
      <c r="J21" s="205"/>
      <c r="K21" s="205"/>
      <c r="L21" s="205"/>
    </row>
    <row r="30" spans="6:7" ht="12.75">
      <c r="F30" s="207" t="s">
        <v>53</v>
      </c>
      <c r="G30" s="207"/>
    </row>
  </sheetData>
  <sheetProtection password="C826" sheet="1" objects="1" scenarios="1"/>
  <mergeCells count="14">
    <mergeCell ref="F30:G30"/>
    <mergeCell ref="J3:L3"/>
    <mergeCell ref="G12:I12"/>
    <mergeCell ref="G21:I21"/>
    <mergeCell ref="J12:L12"/>
    <mergeCell ref="J21:L21"/>
    <mergeCell ref="A3:C3"/>
    <mergeCell ref="A1:L1"/>
    <mergeCell ref="A12:C12"/>
    <mergeCell ref="A21:C21"/>
    <mergeCell ref="D12:F12"/>
    <mergeCell ref="D21:F21"/>
    <mergeCell ref="D3:F3"/>
    <mergeCell ref="G3:I3"/>
  </mergeCells>
  <hyperlinks>
    <hyperlink ref="F30:G30" location="Principal!A1" display="Menu Principal"/>
  </hyperlink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D -'!Q7</f>
        <v>Alemanha</v>
      </c>
      <c r="N2" t="str">
        <f>'- D -'!Q9</f>
        <v>Austrália</v>
      </c>
      <c r="U2" t="str">
        <f>'- D -'!Q11</f>
        <v>Sérvia</v>
      </c>
      <c r="AB2" t="str">
        <f>'- D -'!Q13</f>
        <v>Gana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D -'!B6</f>
        <v>Alemanha</v>
      </c>
      <c r="B4" s="1">
        <f>'- D -'!C6</f>
        <v>0</v>
      </c>
      <c r="C4" s="1" t="str">
        <f>'- D -'!D6</f>
        <v>-</v>
      </c>
      <c r="D4" s="1">
        <f>'- D -'!E6</f>
        <v>0</v>
      </c>
      <c r="E4" s="3" t="str">
        <f>'- D -'!F6</f>
        <v>Austrália</v>
      </c>
      <c r="F4" s="1">
        <f>COUNTBLANK('- D -'!C6:'- D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D -'!B7</f>
        <v>Sérvia</v>
      </c>
      <c r="B5" s="1">
        <f>'- D -'!C7</f>
        <v>0</v>
      </c>
      <c r="C5" s="1" t="str">
        <f>'- D -'!D7</f>
        <v>-</v>
      </c>
      <c r="D5" s="1">
        <f>'- D -'!E7</f>
        <v>0</v>
      </c>
      <c r="E5" s="3" t="str">
        <f>'- D -'!F7</f>
        <v>Gana</v>
      </c>
      <c r="F5" s="1">
        <f>COUNTBLANK('- D -'!C7:'- D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D -'!B8</f>
        <v>Alemanha</v>
      </c>
      <c r="B6" s="1">
        <f>'- D -'!C8</f>
        <v>0</v>
      </c>
      <c r="C6" s="1" t="str">
        <f>'- D -'!D8</f>
        <v>-</v>
      </c>
      <c r="D6" s="1">
        <f>'- D -'!E8</f>
        <v>0</v>
      </c>
      <c r="E6" s="3" t="str">
        <f>'- D -'!F8</f>
        <v>Sérvia</v>
      </c>
      <c r="F6" s="1">
        <f>COUNTBLANK('- D -'!C8:'- D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D -'!B9</f>
        <v>Gana</v>
      </c>
      <c r="B7" s="1">
        <f>'- D -'!C9</f>
        <v>0</v>
      </c>
      <c r="C7" s="1" t="str">
        <f>'- D -'!D9</f>
        <v>-</v>
      </c>
      <c r="D7" s="1">
        <f>'- D -'!E9</f>
        <v>0</v>
      </c>
      <c r="E7" s="3" t="str">
        <f>'- D -'!F9</f>
        <v>Austrália</v>
      </c>
      <c r="F7" s="1">
        <f>COUNTBLANK('- D -'!C9:'- D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D -'!B10</f>
        <v>Gana</v>
      </c>
      <c r="B8" s="1">
        <f>'- D -'!C10</f>
        <v>0</v>
      </c>
      <c r="C8" s="1" t="str">
        <f>'- D -'!D10</f>
        <v>-</v>
      </c>
      <c r="D8" s="1">
        <f>'- D -'!E10</f>
        <v>0</v>
      </c>
      <c r="E8" s="3" t="str">
        <f>'- D -'!F10</f>
        <v>Alemanha</v>
      </c>
      <c r="F8" s="1">
        <f>COUNTBLANK('- D -'!C10:'- D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D -'!B11</f>
        <v>Austrália</v>
      </c>
      <c r="B9" s="1">
        <f>'- D -'!C11</f>
        <v>0</v>
      </c>
      <c r="C9" s="1" t="str">
        <f>'- D -'!D11</f>
        <v>-</v>
      </c>
      <c r="D9" s="1">
        <f>'- D -'!E11</f>
        <v>0</v>
      </c>
      <c r="E9" s="3" t="str">
        <f>'- D -'!F11</f>
        <v>Sérvia</v>
      </c>
      <c r="F9" s="1">
        <f>COUNTBLANK('- D -'!C11:'- D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Alemanha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Alemanha</v>
      </c>
      <c r="P16">
        <f>VLOOKUP(O16,$F$16:$M$25,8,FALSE)</f>
        <v>0</v>
      </c>
      <c r="S16" t="str">
        <f>IF($P16&gt;=$P18,$O16,$O18)</f>
        <v>Alemanha</v>
      </c>
      <c r="T16">
        <f>VLOOKUP(S16,$O$16:$P$25,2,FALSE)</f>
        <v>0</v>
      </c>
      <c r="W16" t="str">
        <f>IF($T16&gt;=$T19,$S16,$S19)</f>
        <v>Alemanha</v>
      </c>
      <c r="X16">
        <f>VLOOKUP(W16,$S$16:$T$25,2,FALSE)</f>
        <v>0</v>
      </c>
      <c r="AA16" t="str">
        <f>W16</f>
        <v>Alemanha</v>
      </c>
      <c r="AB16">
        <f>VLOOKUP(AA16,W16:X25,2,FALSE)</f>
        <v>0</v>
      </c>
      <c r="AE16" t="str">
        <f>AA16</f>
        <v>Alemanha</v>
      </c>
      <c r="AF16">
        <f>VLOOKUP(AE16,AA16:AB25,2,FALSE)</f>
        <v>0</v>
      </c>
      <c r="AI16" t="str">
        <f>AE16</f>
        <v>Alemanha</v>
      </c>
      <c r="AJ16">
        <f>VLOOKUP(AI16,AE16:AF25,2,FALSE)</f>
        <v>0</v>
      </c>
    </row>
    <row r="17" spans="6:36" ht="12.75">
      <c r="F17" t="str">
        <f>N2</f>
        <v>Austrália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Austrália</v>
      </c>
      <c r="P17">
        <f>VLOOKUP(O17,$F$16:$M$25,8,FALSE)</f>
        <v>0</v>
      </c>
      <c r="S17" t="str">
        <f>O17</f>
        <v>Austrália</v>
      </c>
      <c r="T17">
        <f>VLOOKUP(S17,$O$16:$P$25,2,FALSE)</f>
        <v>0</v>
      </c>
      <c r="W17" t="str">
        <f>S17</f>
        <v>Austrália</v>
      </c>
      <c r="X17">
        <f>VLOOKUP(W17,$S$16:$T$25,2,FALSE)</f>
        <v>0</v>
      </c>
      <c r="AA17" t="str">
        <f>IF(X17&gt;=X18,W17,W18)</f>
        <v>Austrália</v>
      </c>
      <c r="AB17">
        <f>VLOOKUP(AA17,W16:X25,2,FALSE)</f>
        <v>0</v>
      </c>
      <c r="AE17" t="str">
        <f>IF(AB17&gt;=AB19,AA17,AA19)</f>
        <v>Austrália</v>
      </c>
      <c r="AF17">
        <f>VLOOKUP(AE17,AA16:AB25,2,FALSE)</f>
        <v>0</v>
      </c>
      <c r="AI17" t="str">
        <f>AE17</f>
        <v>Austrália</v>
      </c>
      <c r="AJ17">
        <f>VLOOKUP(AI17,AE16:AF25,2,FALSE)</f>
        <v>0</v>
      </c>
    </row>
    <row r="18" spans="6:36" ht="12.75">
      <c r="F18" t="str">
        <f>U2</f>
        <v>Sérvia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Sérvia</v>
      </c>
      <c r="P18">
        <f>VLOOKUP(O18,$F$16:$M$25,8,FALSE)</f>
        <v>0</v>
      </c>
      <c r="S18" t="str">
        <f>IF($P18&lt;=$P16,$O18,$O16)</f>
        <v>Sérvia</v>
      </c>
      <c r="T18">
        <f>VLOOKUP(S18,$O$16:$P$25,2,FALSE)</f>
        <v>0</v>
      </c>
      <c r="W18" t="str">
        <f>S18</f>
        <v>Sérvia</v>
      </c>
      <c r="X18">
        <f>VLOOKUP(W18,$S$16:$T$25,2,FALSE)</f>
        <v>0</v>
      </c>
      <c r="AA18" t="str">
        <f>IF(X18&lt;=X17,W18,W17)</f>
        <v>Sérvia</v>
      </c>
      <c r="AB18">
        <f>VLOOKUP(AA18,W16:X25,2,FALSE)</f>
        <v>0</v>
      </c>
      <c r="AE18" t="str">
        <f>AA18</f>
        <v>Sérvia</v>
      </c>
      <c r="AF18">
        <f>VLOOKUP(AE18,AA16:AB25,2,FALSE)</f>
        <v>0</v>
      </c>
      <c r="AI18" t="str">
        <f>IF(AF18&gt;=AF19,AE18,AE19)</f>
        <v>Sérvia</v>
      </c>
      <c r="AJ18">
        <f>VLOOKUP(AI18,AE16:AF25,2,FALSE)</f>
        <v>0</v>
      </c>
    </row>
    <row r="19" spans="6:36" ht="12.75">
      <c r="F19" t="str">
        <f>AB2</f>
        <v>Gana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Gana</v>
      </c>
      <c r="P19">
        <f>VLOOKUP(O19,$F$16:$M$25,8,FALSE)</f>
        <v>0</v>
      </c>
      <c r="S19" t="str">
        <f>O19</f>
        <v>Gana</v>
      </c>
      <c r="T19">
        <f>VLOOKUP(S19,$O$16:$P$25,2,FALSE)</f>
        <v>0</v>
      </c>
      <c r="W19" t="str">
        <f>IF($T19&lt;=$T16,$S19,$S16)</f>
        <v>Gana</v>
      </c>
      <c r="X19">
        <f>VLOOKUP(W19,$S$16:$T$25,2,FALSE)</f>
        <v>0</v>
      </c>
      <c r="AA19" t="str">
        <f>W19</f>
        <v>Gana</v>
      </c>
      <c r="AB19">
        <f>VLOOKUP(AA19,W16:X25,2,FALSE)</f>
        <v>0</v>
      </c>
      <c r="AE19" t="str">
        <f>IF(AB19&lt;=AB17,AA19,AA17)</f>
        <v>Gana</v>
      </c>
      <c r="AF19">
        <f>VLOOKUP(AE19,AA16:AB25,2,FALSE)</f>
        <v>0</v>
      </c>
      <c r="AI19" t="str">
        <f>IF(AF19&lt;=AF18,AE19,AE18)</f>
        <v>Gana</v>
      </c>
      <c r="AJ19">
        <f>VLOOKUP(AI19,AE16:AF25,2,FALSE)</f>
        <v>0</v>
      </c>
    </row>
    <row r="28" spans="6:37" ht="12.75">
      <c r="F28" t="str">
        <f>AI16</f>
        <v>Alemanha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Alemanha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Alemanha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Alemanha</v>
      </c>
      <c r="X28">
        <f>VLOOKUP(W28,$S$28:$U$37,2,FALSE)</f>
        <v>0</v>
      </c>
      <c r="Y28">
        <f>VLOOKUP(W28,$S$28:$U$37,3,FALSE)</f>
        <v>0</v>
      </c>
      <c r="AA28" t="str">
        <f>W28</f>
        <v>Alemanha</v>
      </c>
      <c r="AB28">
        <f>VLOOKUP(AA28,W28:Y37,2,FALSE)</f>
        <v>0</v>
      </c>
      <c r="AC28">
        <f>VLOOKUP(AA28,W28:Y37,3,FALSE)</f>
        <v>0</v>
      </c>
      <c r="AE28" t="str">
        <f>AA28</f>
        <v>Alemanha</v>
      </c>
      <c r="AF28">
        <f>VLOOKUP(AE28,AA28:AC37,2,FALSE)</f>
        <v>0</v>
      </c>
      <c r="AG28">
        <f>VLOOKUP(AE28,AA28:AC37,3,FALSE)</f>
        <v>0</v>
      </c>
      <c r="AI28" t="str">
        <f>AE28</f>
        <v>Alemanha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Austrália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Austrália</v>
      </c>
      <c r="P29">
        <f>VLOOKUP(O29,$F$28:$M$37,5,FALSE)</f>
        <v>0</v>
      </c>
      <c r="Q29">
        <f>VLOOKUP(O29,$F$28:$M$37,8,FALSE)</f>
        <v>0</v>
      </c>
      <c r="S29" t="str">
        <f>O29</f>
        <v>Austrália</v>
      </c>
      <c r="T29">
        <f>VLOOKUP(S29,$O$28:$Q$37,2,FALSE)</f>
        <v>0</v>
      </c>
      <c r="U29">
        <f>VLOOKUP(S29,$O$28:$Q$37,3,FALSE)</f>
        <v>0</v>
      </c>
      <c r="W29" t="str">
        <f>S29</f>
        <v>Austrália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Austrália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Austrália</v>
      </c>
      <c r="AF29">
        <f>VLOOKUP(AE29,AA28:AC37,2,FALSE)</f>
        <v>0</v>
      </c>
      <c r="AG29">
        <f>VLOOKUP(AE29,AA28:AC37,3,FALSE)</f>
        <v>0</v>
      </c>
      <c r="AI29" t="str">
        <f>AE29</f>
        <v>Austrália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Sérvia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Sérvia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Sérvia</v>
      </c>
      <c r="T30">
        <f>VLOOKUP(S30,$O$28:$Q$37,2,FALSE)</f>
        <v>0</v>
      </c>
      <c r="U30">
        <f>VLOOKUP(S30,$O$28:$Q$37,3,FALSE)</f>
        <v>0</v>
      </c>
      <c r="W30" t="str">
        <f>S30</f>
        <v>Sérvia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Sérvia</v>
      </c>
      <c r="AB30">
        <f>VLOOKUP(AA30,W28:Y37,2,FALSE)</f>
        <v>0</v>
      </c>
      <c r="AC30">
        <f>VLOOKUP(AA30,W28:Y37,3,FALSE)</f>
        <v>0</v>
      </c>
      <c r="AE30" t="str">
        <f>AA30</f>
        <v>Sérvia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Sérvia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Gana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Gana</v>
      </c>
      <c r="P31">
        <f>VLOOKUP(O31,$F$28:$M$37,5,FALSE)</f>
        <v>0</v>
      </c>
      <c r="Q31">
        <f>VLOOKUP(O31,$F$28:$M$37,8,FALSE)</f>
        <v>0</v>
      </c>
      <c r="S31" t="str">
        <f>O31</f>
        <v>Gana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Gana</v>
      </c>
      <c r="X31">
        <f>VLOOKUP(W31,$S$28:$U$37,2,FALSE)</f>
        <v>0</v>
      </c>
      <c r="Y31">
        <f>VLOOKUP(W31,$S$28:$U$37,3,FALSE)</f>
        <v>0</v>
      </c>
      <c r="AA31" t="str">
        <f>W31</f>
        <v>Gana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Gana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Gana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Alemanha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Alemanha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Alemanha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Alemanha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Alemanha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Alemanha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Alemanha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Austrália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Austrália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Austrália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Austrália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Austrália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Austrália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Austrália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Sérvia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Sérvia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Sérvia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Sérvia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Sérvia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Sérvia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Sérvia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Gana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Gana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Gana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Gana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Gana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Gana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Gana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Alemanha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Austrália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Sérvia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Gana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C -'!Q7</f>
        <v>Inglaterra</v>
      </c>
      <c r="N2" t="str">
        <f>'- C -'!Q9</f>
        <v>Estados Unidos</v>
      </c>
      <c r="U2" t="str">
        <f>'- C -'!Q11</f>
        <v>Argélia</v>
      </c>
      <c r="AB2" t="str">
        <f>'- C -'!Q13</f>
        <v>Eslovênia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C -'!B6</f>
        <v>Inglaterra</v>
      </c>
      <c r="B4" s="1">
        <f>'- C -'!C6</f>
        <v>0</v>
      </c>
      <c r="C4" s="1" t="str">
        <f>'- C -'!D6</f>
        <v>-</v>
      </c>
      <c r="D4" s="1">
        <f>'- C -'!E6</f>
        <v>0</v>
      </c>
      <c r="E4" s="3" t="str">
        <f>'- C -'!F6</f>
        <v>Estados Unidos</v>
      </c>
      <c r="F4" s="1">
        <f>COUNTBLANK('- C -'!C6:'- C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C -'!B7</f>
        <v>Argélia</v>
      </c>
      <c r="B5" s="1">
        <f>'- C -'!C7</f>
        <v>0</v>
      </c>
      <c r="C5" s="1" t="str">
        <f>'- C -'!D7</f>
        <v>-</v>
      </c>
      <c r="D5" s="1">
        <f>'- C -'!E7</f>
        <v>0</v>
      </c>
      <c r="E5" s="3" t="str">
        <f>'- C -'!F7</f>
        <v>Eslovênia</v>
      </c>
      <c r="F5" s="1">
        <f>COUNTBLANK('- C -'!C7:'- C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C -'!B8</f>
        <v>Inglaterra</v>
      </c>
      <c r="B6" s="1">
        <f>'- C -'!C8</f>
        <v>0</v>
      </c>
      <c r="C6" s="1" t="str">
        <f>'- C -'!D8</f>
        <v>-</v>
      </c>
      <c r="D6" s="1">
        <f>'- C -'!E8</f>
        <v>0</v>
      </c>
      <c r="E6" s="3" t="str">
        <f>'- C -'!F8</f>
        <v>Argélia</v>
      </c>
      <c r="F6" s="1">
        <f>COUNTBLANK('- C -'!C8:'- C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C -'!B9</f>
        <v>Eslovênia</v>
      </c>
      <c r="B7" s="1">
        <f>'- C -'!C9</f>
        <v>0</v>
      </c>
      <c r="C7" s="1" t="str">
        <f>'- C -'!D9</f>
        <v>-</v>
      </c>
      <c r="D7" s="1">
        <f>'- C -'!E9</f>
        <v>0</v>
      </c>
      <c r="E7" s="3" t="str">
        <f>'- C -'!F9</f>
        <v>Estados Unidos</v>
      </c>
      <c r="F7" s="1">
        <f>COUNTBLANK('- C -'!C9:'- C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C -'!B10</f>
        <v>Eslovênia</v>
      </c>
      <c r="B8" s="1">
        <f>'- C -'!C10</f>
        <v>0</v>
      </c>
      <c r="C8" s="1" t="str">
        <f>'- C -'!D10</f>
        <v>-</v>
      </c>
      <c r="D8" s="1">
        <f>'- C -'!E10</f>
        <v>0</v>
      </c>
      <c r="E8" s="3" t="str">
        <f>'- C -'!F10</f>
        <v>Inglaterra</v>
      </c>
      <c r="F8" s="1">
        <f>COUNTBLANK('- C -'!C10:'- C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C -'!B11</f>
        <v>Estados Unidos</v>
      </c>
      <c r="B9" s="1">
        <f>'- C -'!C11</f>
        <v>0</v>
      </c>
      <c r="C9" s="1" t="str">
        <f>'- C -'!D11</f>
        <v>-</v>
      </c>
      <c r="D9" s="1">
        <f>'- C -'!E11</f>
        <v>0</v>
      </c>
      <c r="E9" s="3" t="str">
        <f>'- C -'!F11</f>
        <v>Argélia</v>
      </c>
      <c r="F9" s="1">
        <f>COUNTBLANK('- C -'!C11:'- C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Inglaterra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Inglaterra</v>
      </c>
      <c r="P16">
        <f>VLOOKUP(O16,$F$16:$M$25,8,FALSE)</f>
        <v>0</v>
      </c>
      <c r="S16" t="str">
        <f>IF($P16&gt;=$P18,$O16,$O18)</f>
        <v>Inglaterra</v>
      </c>
      <c r="T16">
        <f>VLOOKUP(S16,$O$16:$P$25,2,FALSE)</f>
        <v>0</v>
      </c>
      <c r="W16" t="str">
        <f>IF($T16&gt;=$T19,$S16,$S19)</f>
        <v>Inglaterra</v>
      </c>
      <c r="X16">
        <f>VLOOKUP(W16,$S$16:$T$25,2,FALSE)</f>
        <v>0</v>
      </c>
      <c r="AA16" t="str">
        <f>W16</f>
        <v>Inglaterra</v>
      </c>
      <c r="AB16">
        <f>VLOOKUP(AA16,W16:X25,2,FALSE)</f>
        <v>0</v>
      </c>
      <c r="AE16" t="str">
        <f>AA16</f>
        <v>Inglaterra</v>
      </c>
      <c r="AF16">
        <f>VLOOKUP(AE16,AA16:AB25,2,FALSE)</f>
        <v>0</v>
      </c>
      <c r="AI16" t="str">
        <f>AE16</f>
        <v>Inglaterra</v>
      </c>
      <c r="AJ16">
        <f>VLOOKUP(AI16,AE16:AF25,2,FALSE)</f>
        <v>0</v>
      </c>
    </row>
    <row r="17" spans="6:36" ht="12.75">
      <c r="F17" t="str">
        <f>N2</f>
        <v>Estados Unidos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Estados Unidos</v>
      </c>
      <c r="P17">
        <f>VLOOKUP(O17,$F$16:$M$25,8,FALSE)</f>
        <v>0</v>
      </c>
      <c r="S17" t="str">
        <f>O17</f>
        <v>Estados Unidos</v>
      </c>
      <c r="T17">
        <f>VLOOKUP(S17,$O$16:$P$25,2,FALSE)</f>
        <v>0</v>
      </c>
      <c r="W17" t="str">
        <f>S17</f>
        <v>Estados Unidos</v>
      </c>
      <c r="X17">
        <f>VLOOKUP(W17,$S$16:$T$25,2,FALSE)</f>
        <v>0</v>
      </c>
      <c r="AA17" t="str">
        <f>IF(X17&gt;=X18,W17,W18)</f>
        <v>Estados Unidos</v>
      </c>
      <c r="AB17">
        <f>VLOOKUP(AA17,W16:X25,2,FALSE)</f>
        <v>0</v>
      </c>
      <c r="AE17" t="str">
        <f>IF(AB17&gt;=AB19,AA17,AA19)</f>
        <v>Estados Unidos</v>
      </c>
      <c r="AF17">
        <f>VLOOKUP(AE17,AA16:AB25,2,FALSE)</f>
        <v>0</v>
      </c>
      <c r="AI17" t="str">
        <f>AE17</f>
        <v>Estados Unidos</v>
      </c>
      <c r="AJ17">
        <f>VLOOKUP(AI17,AE16:AF25,2,FALSE)</f>
        <v>0</v>
      </c>
    </row>
    <row r="18" spans="6:36" ht="12.75">
      <c r="F18" t="str">
        <f>U2</f>
        <v>Argélia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Argélia</v>
      </c>
      <c r="P18">
        <f>VLOOKUP(O18,$F$16:$M$25,8,FALSE)</f>
        <v>0</v>
      </c>
      <c r="S18" t="str">
        <f>IF($P18&lt;=$P16,$O18,$O16)</f>
        <v>Argélia</v>
      </c>
      <c r="T18">
        <f>VLOOKUP(S18,$O$16:$P$25,2,FALSE)</f>
        <v>0</v>
      </c>
      <c r="W18" t="str">
        <f>S18</f>
        <v>Argélia</v>
      </c>
      <c r="X18">
        <f>VLOOKUP(W18,$S$16:$T$25,2,FALSE)</f>
        <v>0</v>
      </c>
      <c r="AA18" t="str">
        <f>IF(X18&lt;=X17,W18,W17)</f>
        <v>Argélia</v>
      </c>
      <c r="AB18">
        <f>VLOOKUP(AA18,W16:X25,2,FALSE)</f>
        <v>0</v>
      </c>
      <c r="AE18" t="str">
        <f>AA18</f>
        <v>Argélia</v>
      </c>
      <c r="AF18">
        <f>VLOOKUP(AE18,AA16:AB25,2,FALSE)</f>
        <v>0</v>
      </c>
      <c r="AI18" t="str">
        <f>IF(AF18&gt;=AF19,AE18,AE19)</f>
        <v>Argélia</v>
      </c>
      <c r="AJ18">
        <f>VLOOKUP(AI18,AE16:AF25,2,FALSE)</f>
        <v>0</v>
      </c>
    </row>
    <row r="19" spans="6:36" ht="12.75">
      <c r="F19" t="str">
        <f>AB2</f>
        <v>Eslovênia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Eslovênia</v>
      </c>
      <c r="P19">
        <f>VLOOKUP(O19,$F$16:$M$25,8,FALSE)</f>
        <v>0</v>
      </c>
      <c r="S19" t="str">
        <f>O19</f>
        <v>Eslovênia</v>
      </c>
      <c r="T19">
        <f>VLOOKUP(S19,$O$16:$P$25,2,FALSE)</f>
        <v>0</v>
      </c>
      <c r="W19" t="str">
        <f>IF($T19&lt;=$T16,$S19,$S16)</f>
        <v>Eslovênia</v>
      </c>
      <c r="X19">
        <f>VLOOKUP(W19,$S$16:$T$25,2,FALSE)</f>
        <v>0</v>
      </c>
      <c r="AA19" t="str">
        <f>W19</f>
        <v>Eslovênia</v>
      </c>
      <c r="AB19">
        <f>VLOOKUP(AA19,W16:X25,2,FALSE)</f>
        <v>0</v>
      </c>
      <c r="AE19" t="str">
        <f>IF(AB19&lt;=AB17,AA19,AA17)</f>
        <v>Eslovênia</v>
      </c>
      <c r="AF19">
        <f>VLOOKUP(AE19,AA16:AB25,2,FALSE)</f>
        <v>0</v>
      </c>
      <c r="AI19" t="str">
        <f>IF(AF19&lt;=AF18,AE19,AE18)</f>
        <v>Eslovênia</v>
      </c>
      <c r="AJ19">
        <f>VLOOKUP(AI19,AE16:AF25,2,FALSE)</f>
        <v>0</v>
      </c>
    </row>
    <row r="28" spans="6:37" ht="12.75">
      <c r="F28" t="str">
        <f>AI16</f>
        <v>Inglaterra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Inglaterra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Inglaterra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Inglaterra</v>
      </c>
      <c r="X28">
        <f>VLOOKUP(W28,$S$28:$U$37,2,FALSE)</f>
        <v>0</v>
      </c>
      <c r="Y28">
        <f>VLOOKUP(W28,$S$28:$U$37,3,FALSE)</f>
        <v>0</v>
      </c>
      <c r="AA28" t="str">
        <f>W28</f>
        <v>Inglaterra</v>
      </c>
      <c r="AB28">
        <f>VLOOKUP(AA28,W28:Y37,2,FALSE)</f>
        <v>0</v>
      </c>
      <c r="AC28">
        <f>VLOOKUP(AA28,W28:Y37,3,FALSE)</f>
        <v>0</v>
      </c>
      <c r="AE28" t="str">
        <f>AA28</f>
        <v>Inglaterra</v>
      </c>
      <c r="AF28">
        <f>VLOOKUP(AE28,AA28:AC37,2,FALSE)</f>
        <v>0</v>
      </c>
      <c r="AG28">
        <f>VLOOKUP(AE28,AA28:AC37,3,FALSE)</f>
        <v>0</v>
      </c>
      <c r="AI28" t="str">
        <f>AE28</f>
        <v>Inglaterra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Estados Unidos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Estados Unidos</v>
      </c>
      <c r="P29">
        <f>VLOOKUP(O29,$F$28:$M$37,5,FALSE)</f>
        <v>0</v>
      </c>
      <c r="Q29">
        <f>VLOOKUP(O29,$F$28:$M$37,8,FALSE)</f>
        <v>0</v>
      </c>
      <c r="S29" t="str">
        <f>O29</f>
        <v>Estados Unidos</v>
      </c>
      <c r="T29">
        <f>VLOOKUP(S29,$O$28:$Q$37,2,FALSE)</f>
        <v>0</v>
      </c>
      <c r="U29">
        <f>VLOOKUP(S29,$O$28:$Q$37,3,FALSE)</f>
        <v>0</v>
      </c>
      <c r="W29" t="str">
        <f>S29</f>
        <v>Estados Unidos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Estados Unidos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Estados Unidos</v>
      </c>
      <c r="AF29">
        <f>VLOOKUP(AE29,AA28:AC37,2,FALSE)</f>
        <v>0</v>
      </c>
      <c r="AG29">
        <f>VLOOKUP(AE29,AA28:AC37,3,FALSE)</f>
        <v>0</v>
      </c>
      <c r="AI29" t="str">
        <f>AE29</f>
        <v>Estados Unidos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Argélia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Argélia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Argélia</v>
      </c>
      <c r="T30">
        <f>VLOOKUP(S30,$O$28:$Q$37,2,FALSE)</f>
        <v>0</v>
      </c>
      <c r="U30">
        <f>VLOOKUP(S30,$O$28:$Q$37,3,FALSE)</f>
        <v>0</v>
      </c>
      <c r="W30" t="str">
        <f>S30</f>
        <v>Argélia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Argélia</v>
      </c>
      <c r="AB30">
        <f>VLOOKUP(AA30,W28:Y37,2,FALSE)</f>
        <v>0</v>
      </c>
      <c r="AC30">
        <f>VLOOKUP(AA30,W28:Y37,3,FALSE)</f>
        <v>0</v>
      </c>
      <c r="AE30" t="str">
        <f>AA30</f>
        <v>Argélia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Argélia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Eslovênia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Eslovênia</v>
      </c>
      <c r="P31">
        <f>VLOOKUP(O31,$F$28:$M$37,5,FALSE)</f>
        <v>0</v>
      </c>
      <c r="Q31">
        <f>VLOOKUP(O31,$F$28:$M$37,8,FALSE)</f>
        <v>0</v>
      </c>
      <c r="S31" t="str">
        <f>O31</f>
        <v>Eslovênia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Eslovênia</v>
      </c>
      <c r="X31">
        <f>VLOOKUP(W31,$S$28:$U$37,2,FALSE)</f>
        <v>0</v>
      </c>
      <c r="Y31">
        <f>VLOOKUP(W31,$S$28:$U$37,3,FALSE)</f>
        <v>0</v>
      </c>
      <c r="AA31" t="str">
        <f>W31</f>
        <v>Eslovênia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Eslovênia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Eslovênia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Inglaterra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Inglaterra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Inglaterra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Inglaterra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Inglaterra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Inglaterra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Inglaterra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Estados Unidos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Estados Unidos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Estados Unidos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Estados Unidos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Estados Unidos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Estados Unidos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Estados Unidos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Argélia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Argélia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Argélia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Argélia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Argélia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Argélia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Argélia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Eslovênia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Eslovênia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Eslovênia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Eslovênia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Eslovênia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Eslovênia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Eslovênia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Inglaterra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Estados Unidos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Argélia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Eslovênia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1">
      <pane xSplit="5" topLeftCell="T1" activePane="topRight" state="frozen"/>
      <selection pane="topLeft" activeCell="A1" sqref="A1"/>
      <selection pane="topRight" activeCell="AB16" sqref="AB16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A -'!Q7</f>
        <v>África do Sul</v>
      </c>
      <c r="N2" t="str">
        <f>'- A -'!Q9</f>
        <v>México</v>
      </c>
      <c r="U2" t="str">
        <f>'- A -'!Q11</f>
        <v>Uruguai</v>
      </c>
      <c r="AB2" t="str">
        <f>'- A -'!Q13</f>
        <v>França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A -'!B6</f>
        <v>África do Sul</v>
      </c>
      <c r="B4" s="1">
        <f>'- A -'!C6</f>
        <v>0</v>
      </c>
      <c r="C4" s="1" t="str">
        <f>'- A -'!D6</f>
        <v>-</v>
      </c>
      <c r="D4" s="1">
        <f>'- A -'!E6</f>
        <v>0</v>
      </c>
      <c r="E4" s="3" t="str">
        <f>'- A -'!F6</f>
        <v>México</v>
      </c>
      <c r="F4" s="1">
        <f>COUNTBLANK('- A -'!C6:'- A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A -'!B7</f>
        <v>Uruguai</v>
      </c>
      <c r="B5" s="1">
        <f>'- A -'!C7</f>
        <v>0</v>
      </c>
      <c r="C5" s="1" t="str">
        <f>'- A -'!D7</f>
        <v>-</v>
      </c>
      <c r="D5" s="1">
        <f>'- A -'!E7</f>
        <v>0</v>
      </c>
      <c r="E5" s="3" t="str">
        <f>'- A -'!F7</f>
        <v>França</v>
      </c>
      <c r="F5" s="1">
        <f>COUNTBLANK('- A -'!C7:'- A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A -'!B8</f>
        <v>África do Sul</v>
      </c>
      <c r="B6" s="1">
        <f>'- A -'!C8</f>
        <v>0</v>
      </c>
      <c r="C6" s="1" t="str">
        <f>'- A -'!D8</f>
        <v>-</v>
      </c>
      <c r="D6" s="1">
        <f>'- A -'!E8</f>
        <v>0</v>
      </c>
      <c r="E6" s="3" t="str">
        <f>'- A -'!F8</f>
        <v>Uruguai</v>
      </c>
      <c r="F6" s="1">
        <f>COUNTBLANK('- A -'!C8:'- A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A -'!B9</f>
        <v>França</v>
      </c>
      <c r="B7" s="1">
        <f>'- A -'!C9</f>
        <v>0</v>
      </c>
      <c r="C7" s="1" t="str">
        <f>'- A -'!D9</f>
        <v>-</v>
      </c>
      <c r="D7" s="1">
        <f>'- A -'!E9</f>
        <v>0</v>
      </c>
      <c r="E7" s="3" t="str">
        <f>'- A -'!F9</f>
        <v>México</v>
      </c>
      <c r="F7" s="1">
        <f>COUNTBLANK('- A -'!C9:'- A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A -'!B10</f>
        <v>França</v>
      </c>
      <c r="B8" s="1">
        <f>'- A -'!C10</f>
        <v>0</v>
      </c>
      <c r="C8" s="1" t="str">
        <f>'- A -'!D10</f>
        <v>-</v>
      </c>
      <c r="D8" s="1">
        <f>'- A -'!E10</f>
        <v>0</v>
      </c>
      <c r="E8" s="3" t="str">
        <f>'- A -'!F10</f>
        <v>África do Sul</v>
      </c>
      <c r="F8" s="1">
        <f>COUNTBLANK('- A -'!C10:'- A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A -'!B11</f>
        <v>México</v>
      </c>
      <c r="B9" s="1">
        <f>'- A -'!C11</f>
        <v>0</v>
      </c>
      <c r="C9" s="1" t="str">
        <f>'- A -'!D11</f>
        <v>-</v>
      </c>
      <c r="D9" s="1">
        <f>'- A -'!E11</f>
        <v>0</v>
      </c>
      <c r="E9" s="3" t="str">
        <f>'- A -'!F11</f>
        <v>Uruguai</v>
      </c>
      <c r="F9" s="1">
        <f>COUNTBLANK('- A -'!C11:'- A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África do Sul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África do Sul</v>
      </c>
      <c r="P16">
        <f>VLOOKUP(O16,$F$16:$M$25,8,FALSE)</f>
        <v>0</v>
      </c>
      <c r="S16" t="str">
        <f>IF($P16&gt;=$P18,$O16,$O18)</f>
        <v>África do Sul</v>
      </c>
      <c r="T16">
        <f>VLOOKUP(S16,$O$16:$P$25,2,FALSE)</f>
        <v>0</v>
      </c>
      <c r="W16" t="str">
        <f>IF($T16&gt;=$T19,$S16,$S19)</f>
        <v>África do Sul</v>
      </c>
      <c r="X16">
        <f>VLOOKUP(W16,$S$16:$T$25,2,FALSE)</f>
        <v>0</v>
      </c>
      <c r="AA16" t="str">
        <f>W16</f>
        <v>África do Sul</v>
      </c>
      <c r="AB16">
        <f>VLOOKUP(AA16,W16:X25,2,FALSE)</f>
        <v>0</v>
      </c>
      <c r="AE16" t="str">
        <f>AA16</f>
        <v>África do Sul</v>
      </c>
      <c r="AF16">
        <f>VLOOKUP(AE16,AA16:AB25,2,FALSE)</f>
        <v>0</v>
      </c>
      <c r="AI16" t="str">
        <f>AE16</f>
        <v>África do Sul</v>
      </c>
      <c r="AJ16">
        <f>VLOOKUP(AI16,AE16:AF25,2,FALSE)</f>
        <v>0</v>
      </c>
    </row>
    <row r="17" spans="6:36" ht="12.75">
      <c r="F17" t="str">
        <f>N2</f>
        <v>México</v>
      </c>
      <c r="G17">
        <f aca="true" t="shared" si="29" ref="G17:L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>T10</f>
        <v>0</v>
      </c>
      <c r="O17" t="str">
        <f>IF($M17&lt;=$M16,$F17,$F16)</f>
        <v>México</v>
      </c>
      <c r="P17">
        <f>VLOOKUP(O17,$F$16:$M$25,8,FALSE)</f>
        <v>0</v>
      </c>
      <c r="S17" t="str">
        <f>O17</f>
        <v>México</v>
      </c>
      <c r="T17">
        <f>VLOOKUP(S17,$O$16:$P$25,2,FALSE)</f>
        <v>0</v>
      </c>
      <c r="W17" t="str">
        <f>S17</f>
        <v>México</v>
      </c>
      <c r="X17">
        <f>VLOOKUP(W17,$S$16:$T$25,2,FALSE)</f>
        <v>0</v>
      </c>
      <c r="AA17" t="str">
        <f>IF(X17&gt;=X18,W17,W18)</f>
        <v>México</v>
      </c>
      <c r="AB17">
        <f>VLOOKUP(AA17,W16:X25,2,FALSE)</f>
        <v>0</v>
      </c>
      <c r="AE17" t="str">
        <f>IF(AB17&gt;=AB19,AA17,AA19)</f>
        <v>México</v>
      </c>
      <c r="AF17">
        <f>VLOOKUP(AE17,AA16:AB25,2,FALSE)</f>
        <v>0</v>
      </c>
      <c r="AI17" t="str">
        <f>AE17</f>
        <v>México</v>
      </c>
      <c r="AJ17">
        <f>VLOOKUP(AI17,AE16:AF25,2,FALSE)</f>
        <v>0</v>
      </c>
    </row>
    <row r="18" spans="6:36" ht="12.75">
      <c r="F18" t="str">
        <f>U2</f>
        <v>Uruguai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Uruguai</v>
      </c>
      <c r="P18">
        <f>VLOOKUP(O18,$F$16:$M$25,8,FALSE)</f>
        <v>0</v>
      </c>
      <c r="S18" t="str">
        <f>IF($P18&lt;=$P16,$O18,$O16)</f>
        <v>Uruguai</v>
      </c>
      <c r="T18">
        <f>VLOOKUP(S18,$O$16:$P$25,2,FALSE)</f>
        <v>0</v>
      </c>
      <c r="W18" t="str">
        <f>S18</f>
        <v>Uruguai</v>
      </c>
      <c r="X18">
        <f>VLOOKUP(W18,$S$16:$T$25,2,FALSE)</f>
        <v>0</v>
      </c>
      <c r="AA18" t="str">
        <f>IF(X18&lt;=X17,W18,W17)</f>
        <v>Uruguai</v>
      </c>
      <c r="AB18">
        <f>VLOOKUP(AA18,W16:X25,2,FALSE)</f>
        <v>0</v>
      </c>
      <c r="AE18" t="str">
        <f>AA18</f>
        <v>Uruguai</v>
      </c>
      <c r="AF18">
        <f>VLOOKUP(AE18,AA16:AB25,2,FALSE)</f>
        <v>0</v>
      </c>
      <c r="AI18" t="str">
        <f>IF(AF18&gt;=AF19,AE18,AE19)</f>
        <v>Uruguai</v>
      </c>
      <c r="AJ18">
        <f>VLOOKUP(AI18,AE16:AF25,2,FALSE)</f>
        <v>0</v>
      </c>
    </row>
    <row r="19" spans="6:36" ht="12.75">
      <c r="F19" t="str">
        <f>AB2</f>
        <v>França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França</v>
      </c>
      <c r="P19">
        <f>VLOOKUP(O19,$F$16:$M$25,8,FALSE)</f>
        <v>0</v>
      </c>
      <c r="S19" t="str">
        <f>O19</f>
        <v>França</v>
      </c>
      <c r="T19">
        <f>VLOOKUP(S19,$O$16:$P$25,2,FALSE)</f>
        <v>0</v>
      </c>
      <c r="W19" t="str">
        <f>IF($T19&lt;=$T16,$S19,$S16)</f>
        <v>França</v>
      </c>
      <c r="X19">
        <f>VLOOKUP(W19,$S$16:$T$25,2,FALSE)</f>
        <v>0</v>
      </c>
      <c r="AA19" t="str">
        <f>W19</f>
        <v>França</v>
      </c>
      <c r="AB19">
        <f>VLOOKUP(AA19,W16:X25,2,FALSE)</f>
        <v>0</v>
      </c>
      <c r="AE19" t="str">
        <f>IF(AB19&lt;=AB17,AA19,AA17)</f>
        <v>França</v>
      </c>
      <c r="AF19">
        <f>VLOOKUP(AE19,AA16:AB25,2,FALSE)</f>
        <v>0</v>
      </c>
      <c r="AI19" t="str">
        <f>IF(AF19&lt;=AF18,AE19,AE18)</f>
        <v>França</v>
      </c>
      <c r="AJ19">
        <f>VLOOKUP(AI19,AE16:AF25,2,FALSE)</f>
        <v>0</v>
      </c>
    </row>
    <row r="28" spans="6:37" ht="12.75">
      <c r="F28" t="str">
        <f>AI16</f>
        <v>África do Sul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África do Sul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África do Sul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África do Sul</v>
      </c>
      <c r="X28">
        <f>VLOOKUP(W28,$S$28:$U$37,2,FALSE)</f>
        <v>0</v>
      </c>
      <c r="Y28">
        <f>VLOOKUP(W28,$S$28:$U$37,3,FALSE)</f>
        <v>0</v>
      </c>
      <c r="AA28" t="str">
        <f>W28</f>
        <v>África do Sul</v>
      </c>
      <c r="AB28">
        <f>VLOOKUP(AA28,W28:Y37,2,FALSE)</f>
        <v>0</v>
      </c>
      <c r="AC28">
        <f>VLOOKUP(AA28,W28:Y37,3,FALSE)</f>
        <v>0</v>
      </c>
      <c r="AE28" t="str">
        <f>AA28</f>
        <v>África do Sul</v>
      </c>
      <c r="AF28">
        <f>VLOOKUP(AE28,AA28:AC37,2,FALSE)</f>
        <v>0</v>
      </c>
      <c r="AG28">
        <f>VLOOKUP(AE28,AA28:AC37,3,FALSE)</f>
        <v>0</v>
      </c>
      <c r="AI28" t="str">
        <f>AE28</f>
        <v>África do Sul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México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México</v>
      </c>
      <c r="P29">
        <f>VLOOKUP(O29,$F$28:$M$37,5,FALSE)</f>
        <v>0</v>
      </c>
      <c r="Q29">
        <f>VLOOKUP(O29,$F$28:$M$37,8,FALSE)</f>
        <v>0</v>
      </c>
      <c r="S29" t="str">
        <f>O29</f>
        <v>México</v>
      </c>
      <c r="T29">
        <f>VLOOKUP(S29,$O$28:$Q$37,2,FALSE)</f>
        <v>0</v>
      </c>
      <c r="U29">
        <f>VLOOKUP(S29,$O$28:$Q$37,3,FALSE)</f>
        <v>0</v>
      </c>
      <c r="W29" t="str">
        <f>S29</f>
        <v>México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México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México</v>
      </c>
      <c r="AF29">
        <f>VLOOKUP(AE29,AA28:AC37,2,FALSE)</f>
        <v>0</v>
      </c>
      <c r="AG29">
        <f>VLOOKUP(AE29,AA28:AC37,3,FALSE)</f>
        <v>0</v>
      </c>
      <c r="AI29" t="str">
        <f>AE29</f>
        <v>México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Uruguai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Uruguai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Uruguai</v>
      </c>
      <c r="T30">
        <f>VLOOKUP(S30,$O$28:$Q$37,2,FALSE)</f>
        <v>0</v>
      </c>
      <c r="U30">
        <f>VLOOKUP(S30,$O$28:$Q$37,3,FALSE)</f>
        <v>0</v>
      </c>
      <c r="W30" t="str">
        <f>S30</f>
        <v>Uruguai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Uruguai</v>
      </c>
      <c r="AB30">
        <f>VLOOKUP(AA30,W28:Y37,2,FALSE)</f>
        <v>0</v>
      </c>
      <c r="AC30">
        <f>VLOOKUP(AA30,W28:Y37,3,FALSE)</f>
        <v>0</v>
      </c>
      <c r="AE30" t="str">
        <f>AA30</f>
        <v>Uruguai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Uruguai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França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França</v>
      </c>
      <c r="P31">
        <f>VLOOKUP(O31,$F$28:$M$37,5,FALSE)</f>
        <v>0</v>
      </c>
      <c r="Q31">
        <f>VLOOKUP(O31,$F$28:$M$37,8,FALSE)</f>
        <v>0</v>
      </c>
      <c r="S31" t="str">
        <f>O31</f>
        <v>França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França</v>
      </c>
      <c r="X31">
        <f>VLOOKUP(W31,$S$28:$U$37,2,FALSE)</f>
        <v>0</v>
      </c>
      <c r="Y31">
        <f>VLOOKUP(W31,$S$28:$U$37,3,FALSE)</f>
        <v>0</v>
      </c>
      <c r="AA31" t="str">
        <f>W31</f>
        <v>França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França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França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África do Sul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África do Sul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África do Sul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África do Sul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África do Sul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África do Sul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África do Sul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México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México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México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México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México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México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México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Uruguai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Uruguai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Uruguai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Uruguai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Uruguai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Uruguai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Uruguai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França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França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França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França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França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França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França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África do Sul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México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Uruguai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França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9.140625" style="0" customWidth="1"/>
    <col min="6" max="6" width="10.8515625" style="0" bestFit="1" customWidth="1"/>
  </cols>
  <sheetData>
    <row r="2" spans="1:28" ht="12.75">
      <c r="A2" s="261" t="s">
        <v>28</v>
      </c>
      <c r="B2" s="261"/>
      <c r="C2" s="261"/>
      <c r="D2" s="261"/>
      <c r="E2" s="261"/>
      <c r="G2" t="str">
        <f>'- B -'!Q7</f>
        <v>Argentina</v>
      </c>
      <c r="N2" t="str">
        <f>'- B -'!Q9</f>
        <v>Nigéria</v>
      </c>
      <c r="U2" t="str">
        <f>'- B -'!Q11</f>
        <v>Córeia do Sul</v>
      </c>
      <c r="AB2" t="str">
        <f>'- B -'!Q13</f>
        <v>Grécia</v>
      </c>
    </row>
    <row r="3" spans="6:33" ht="12.75">
      <c r="F3" t="s">
        <v>25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str">
        <f>'- B -'!B6</f>
        <v>Argentina</v>
      </c>
      <c r="B4" s="1">
        <f>'- B -'!C6</f>
        <v>0</v>
      </c>
      <c r="C4" s="1" t="str">
        <f>'- B -'!D6</f>
        <v>-</v>
      </c>
      <c r="D4" s="1">
        <f>'- B -'!E6</f>
        <v>0</v>
      </c>
      <c r="E4" s="3" t="str">
        <f>'- B -'!F6</f>
        <v>Nigéria</v>
      </c>
      <c r="F4" s="1">
        <f>COUNTBLANK('- B -'!C6:'- B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B -'!B7</f>
        <v>Córeia do Sul</v>
      </c>
      <c r="B5" s="1">
        <f>'- B -'!C7</f>
        <v>0</v>
      </c>
      <c r="C5" s="1" t="str">
        <f>'- B -'!D7</f>
        <v>-</v>
      </c>
      <c r="D5" s="1">
        <f>'- B -'!E7</f>
        <v>0</v>
      </c>
      <c r="E5" s="3" t="str">
        <f>'- B -'!F7</f>
        <v>Grécia</v>
      </c>
      <c r="F5" s="1">
        <f>COUNTBLANK('- B -'!C7:'- B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B -'!B8</f>
        <v>Argentina</v>
      </c>
      <c r="B6" s="1">
        <f>'- B -'!C8</f>
        <v>0</v>
      </c>
      <c r="C6" s="1" t="str">
        <f>'- B -'!D8</f>
        <v>-</v>
      </c>
      <c r="D6" s="1">
        <f>'- B -'!E8</f>
        <v>0</v>
      </c>
      <c r="E6" s="3" t="str">
        <f>'- B -'!F8</f>
        <v>Córeia do Sul</v>
      </c>
      <c r="F6" s="1">
        <f>COUNTBLANK('- B -'!C8:'- B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B -'!B9</f>
        <v>Grécia</v>
      </c>
      <c r="B7" s="1">
        <f>'- B -'!C9</f>
        <v>0</v>
      </c>
      <c r="C7" s="1" t="str">
        <f>'- B -'!D9</f>
        <v>-</v>
      </c>
      <c r="D7" s="1">
        <f>'- B -'!E9</f>
        <v>0</v>
      </c>
      <c r="E7" s="3" t="str">
        <f>'- B -'!F9</f>
        <v>Nigéria</v>
      </c>
      <c r="F7" s="1">
        <f>COUNTBLANK('- B -'!C9:'- B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B -'!B10</f>
        <v>Grécia</v>
      </c>
      <c r="B8" s="1">
        <f>'- B -'!C10</f>
        <v>0</v>
      </c>
      <c r="C8" s="1" t="str">
        <f>'- B -'!D10</f>
        <v>-</v>
      </c>
      <c r="D8" s="1">
        <f>'- B -'!E10</f>
        <v>0</v>
      </c>
      <c r="E8" s="3" t="str">
        <f>'- B -'!F10</f>
        <v>Argentina</v>
      </c>
      <c r="F8" s="1">
        <f>COUNTBLANK('- B -'!C10:'- B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B -'!B11</f>
        <v>Nigéria</v>
      </c>
      <c r="B9" s="1">
        <f>'- B -'!C11</f>
        <v>0</v>
      </c>
      <c r="C9" s="1" t="str">
        <f>'- B -'!D11</f>
        <v>-</v>
      </c>
      <c r="D9" s="1">
        <f>'- B -'!E11</f>
        <v>0</v>
      </c>
      <c r="E9" s="3" t="str">
        <f>'- B -'!F11</f>
        <v>Córeia do Sul</v>
      </c>
      <c r="F9" s="1">
        <f>COUNTBLANK('- B -'!C11:'- B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26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str">
        <f>G2</f>
        <v>Argentina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Argentina</v>
      </c>
      <c r="P16">
        <f>VLOOKUP(O16,$F$16:$M$25,8,FALSE)</f>
        <v>0</v>
      </c>
      <c r="S16" t="str">
        <f>IF($P16&gt;=$P18,$O16,$O18)</f>
        <v>Argentina</v>
      </c>
      <c r="T16">
        <f>VLOOKUP(S16,$O$16:$P$25,2,FALSE)</f>
        <v>0</v>
      </c>
      <c r="W16" t="str">
        <f>IF($T16&gt;=$T19,$S16,$S19)</f>
        <v>Argentina</v>
      </c>
      <c r="X16">
        <f>VLOOKUP(W16,$S$16:$T$25,2,FALSE)</f>
        <v>0</v>
      </c>
      <c r="AA16" t="str">
        <f>W16</f>
        <v>Argentina</v>
      </c>
      <c r="AB16">
        <f>VLOOKUP(AA16,W16:X25,2,FALSE)</f>
        <v>0</v>
      </c>
      <c r="AE16" t="str">
        <f>AA16</f>
        <v>Argentina</v>
      </c>
      <c r="AF16">
        <f>VLOOKUP(AE16,AA16:AB25,2,FALSE)</f>
        <v>0</v>
      </c>
      <c r="AI16" t="str">
        <f>AE16</f>
        <v>Argentina</v>
      </c>
      <c r="AJ16">
        <f>VLOOKUP(AI16,AE16:AF25,2,FALSE)</f>
        <v>0</v>
      </c>
    </row>
    <row r="17" spans="6:36" ht="12.75">
      <c r="F17" t="str">
        <f>N2</f>
        <v>Nigéria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Nigéria</v>
      </c>
      <c r="P17">
        <f>VLOOKUP(O17,$F$16:$M$25,8,FALSE)</f>
        <v>0</v>
      </c>
      <c r="S17" t="str">
        <f>O17</f>
        <v>Nigéria</v>
      </c>
      <c r="T17">
        <f>VLOOKUP(S17,$O$16:$P$25,2,FALSE)</f>
        <v>0</v>
      </c>
      <c r="W17" t="str">
        <f>S17</f>
        <v>Nigéria</v>
      </c>
      <c r="X17">
        <f>VLOOKUP(W17,$S$16:$T$25,2,FALSE)</f>
        <v>0</v>
      </c>
      <c r="AA17" t="str">
        <f>IF(X17&gt;=X18,W17,W18)</f>
        <v>Nigéria</v>
      </c>
      <c r="AB17">
        <f>VLOOKUP(AA17,W16:X25,2,FALSE)</f>
        <v>0</v>
      </c>
      <c r="AE17" t="str">
        <f>IF(AB17&gt;=AB19,AA17,AA19)</f>
        <v>Nigéria</v>
      </c>
      <c r="AF17">
        <f>VLOOKUP(AE17,AA16:AB25,2,FALSE)</f>
        <v>0</v>
      </c>
      <c r="AI17" t="str">
        <f>AE17</f>
        <v>Nigéria</v>
      </c>
      <c r="AJ17">
        <f>VLOOKUP(AI17,AE16:AF25,2,FALSE)</f>
        <v>0</v>
      </c>
    </row>
    <row r="18" spans="6:36" ht="12.75">
      <c r="F18" t="str">
        <f>U2</f>
        <v>Córeia do Sul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Córeia do Sul</v>
      </c>
      <c r="P18">
        <f>VLOOKUP(O18,$F$16:$M$25,8,FALSE)</f>
        <v>0</v>
      </c>
      <c r="S18" t="str">
        <f>IF($P18&lt;=$P16,$O18,$O16)</f>
        <v>Córeia do Sul</v>
      </c>
      <c r="T18">
        <f>VLOOKUP(S18,$O$16:$P$25,2,FALSE)</f>
        <v>0</v>
      </c>
      <c r="W18" t="str">
        <f>S18</f>
        <v>Córeia do Sul</v>
      </c>
      <c r="X18">
        <f>VLOOKUP(W18,$S$16:$T$25,2,FALSE)</f>
        <v>0</v>
      </c>
      <c r="AA18" t="str">
        <f>IF(X18&lt;=X17,W18,W17)</f>
        <v>Córeia do Sul</v>
      </c>
      <c r="AB18">
        <f>VLOOKUP(AA18,W16:X25,2,FALSE)</f>
        <v>0</v>
      </c>
      <c r="AE18" t="str">
        <f>AA18</f>
        <v>Córeia do Sul</v>
      </c>
      <c r="AF18">
        <f>VLOOKUP(AE18,AA16:AB25,2,FALSE)</f>
        <v>0</v>
      </c>
      <c r="AI18" t="str">
        <f>IF(AF18&gt;=AF19,AE18,AE19)</f>
        <v>Córeia do Sul</v>
      </c>
      <c r="AJ18">
        <f>VLOOKUP(AI18,AE16:AF25,2,FALSE)</f>
        <v>0</v>
      </c>
    </row>
    <row r="19" spans="6:36" ht="12.75">
      <c r="F19" t="str">
        <f>AB2</f>
        <v>Grécia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Grécia</v>
      </c>
      <c r="P19">
        <f>VLOOKUP(O19,$F$16:$M$25,8,FALSE)</f>
        <v>0</v>
      </c>
      <c r="S19" t="str">
        <f>O19</f>
        <v>Grécia</v>
      </c>
      <c r="T19">
        <f>VLOOKUP(S19,$O$16:$P$25,2,FALSE)</f>
        <v>0</v>
      </c>
      <c r="W19" t="str">
        <f>IF($T19&lt;=$T16,$S19,$S16)</f>
        <v>Grécia</v>
      </c>
      <c r="X19">
        <f>VLOOKUP(W19,$S$16:$T$25,2,FALSE)</f>
        <v>0</v>
      </c>
      <c r="AA19" t="str">
        <f>W19</f>
        <v>Grécia</v>
      </c>
      <c r="AB19">
        <f>VLOOKUP(AA19,W16:X25,2,FALSE)</f>
        <v>0</v>
      </c>
      <c r="AE19" t="str">
        <f>IF(AB19&lt;=AB17,AA19,AA17)</f>
        <v>Grécia</v>
      </c>
      <c r="AF19">
        <f>VLOOKUP(AE19,AA16:AB25,2,FALSE)</f>
        <v>0</v>
      </c>
      <c r="AI19" t="str">
        <f>IF(AF19&lt;=AF18,AE19,AE18)</f>
        <v>Grécia</v>
      </c>
      <c r="AJ19">
        <f>VLOOKUP(AI19,AE16:AF25,2,FALSE)</f>
        <v>0</v>
      </c>
    </row>
    <row r="28" spans="6:37" ht="12.75">
      <c r="F28" t="str">
        <f>AI16</f>
        <v>Argentina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Argentina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Argentina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Argentina</v>
      </c>
      <c r="X28">
        <f>VLOOKUP(W28,$S$28:$U$37,2,FALSE)</f>
        <v>0</v>
      </c>
      <c r="Y28">
        <f>VLOOKUP(W28,$S$28:$U$37,3,FALSE)</f>
        <v>0</v>
      </c>
      <c r="AA28" t="str">
        <f>W28</f>
        <v>Argentina</v>
      </c>
      <c r="AB28">
        <f>VLOOKUP(AA28,W28:Y37,2,FALSE)</f>
        <v>0</v>
      </c>
      <c r="AC28">
        <f>VLOOKUP(AA28,W28:Y37,3,FALSE)</f>
        <v>0</v>
      </c>
      <c r="AE28" t="str">
        <f>AA28</f>
        <v>Argentina</v>
      </c>
      <c r="AF28">
        <f>VLOOKUP(AE28,AA28:AC37,2,FALSE)</f>
        <v>0</v>
      </c>
      <c r="AG28">
        <f>VLOOKUP(AE28,AA28:AC37,3,FALSE)</f>
        <v>0</v>
      </c>
      <c r="AI28" t="str">
        <f>AE28</f>
        <v>Argentina</v>
      </c>
      <c r="AJ28">
        <f>VLOOKUP(AI28,AE28:AG37,2,FALSE)</f>
        <v>0</v>
      </c>
      <c r="AK28">
        <f>VLOOKUP(AI28,AE28:AG37,3,FALSE)</f>
        <v>0</v>
      </c>
    </row>
    <row r="29" spans="6:37" ht="12.75">
      <c r="F29" t="str">
        <f>AI17</f>
        <v>Nigéria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Nigéria</v>
      </c>
      <c r="P29">
        <f>VLOOKUP(O29,$F$28:$M$37,5,FALSE)</f>
        <v>0</v>
      </c>
      <c r="Q29">
        <f>VLOOKUP(O29,$F$28:$M$37,8,FALSE)</f>
        <v>0</v>
      </c>
      <c r="S29" t="str">
        <f>O29</f>
        <v>Nigéria</v>
      </c>
      <c r="T29">
        <f>VLOOKUP(S29,$O$28:$Q$37,2,FALSE)</f>
        <v>0</v>
      </c>
      <c r="U29">
        <f>VLOOKUP(S29,$O$28:$Q$37,3,FALSE)</f>
        <v>0</v>
      </c>
      <c r="W29" t="str">
        <f>S29</f>
        <v>Nigéria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Nigéria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Nigéria</v>
      </c>
      <c r="AF29">
        <f>VLOOKUP(AE29,AA28:AC37,2,FALSE)</f>
        <v>0</v>
      </c>
      <c r="AG29">
        <f>VLOOKUP(AE29,AA28:AC37,3,FALSE)</f>
        <v>0</v>
      </c>
      <c r="AI29" t="str">
        <f>AE29</f>
        <v>Nigéria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Córeia do Sul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Córeia do Sul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Córeia do Sul</v>
      </c>
      <c r="T30">
        <f>VLOOKUP(S30,$O$28:$Q$37,2,FALSE)</f>
        <v>0</v>
      </c>
      <c r="U30">
        <f>VLOOKUP(S30,$O$28:$Q$37,3,FALSE)</f>
        <v>0</v>
      </c>
      <c r="W30" t="str">
        <f>S30</f>
        <v>Córeia do Sul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Córeia do Sul</v>
      </c>
      <c r="AB30">
        <f>VLOOKUP(AA30,W28:Y37,2,FALSE)</f>
        <v>0</v>
      </c>
      <c r="AC30">
        <f>VLOOKUP(AA30,W28:Y37,3,FALSE)</f>
        <v>0</v>
      </c>
      <c r="AE30" t="str">
        <f>AA30</f>
        <v>Córeia do Sul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Córeia do Sul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Grécia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Grécia</v>
      </c>
      <c r="P31">
        <f>VLOOKUP(O31,$F$28:$M$37,5,FALSE)</f>
        <v>0</v>
      </c>
      <c r="Q31">
        <f>VLOOKUP(O31,$F$28:$M$37,8,FALSE)</f>
        <v>0</v>
      </c>
      <c r="S31" t="str">
        <f>O31</f>
        <v>Grécia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Grécia</v>
      </c>
      <c r="X31">
        <f>VLOOKUP(W31,$S$28:$U$37,2,FALSE)</f>
        <v>0</v>
      </c>
      <c r="Y31">
        <f>VLOOKUP(W31,$S$28:$U$37,3,FALSE)</f>
        <v>0</v>
      </c>
      <c r="AA31" t="str">
        <f>W31</f>
        <v>Grécia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Grécia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Grécia</v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Argentina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Argentina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Argentina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Argentina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Argentina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Argentina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Argentina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 t="str">
        <f>AI29</f>
        <v>Nigéria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Nigéria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Nigéria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Nigéria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Nigéria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Nigéria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Nigéria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Córeia do Sul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Córeia do Sul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Córeia do Sul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Córeia do Sul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Córeia do Sul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Córeia do Sul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Córeia do Sul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Grécia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Grécia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Grécia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Grécia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Grécia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Grécia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Grécia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27</v>
      </c>
    </row>
    <row r="52" spans="6:13" ht="12.75">
      <c r="F52" t="str">
        <f>AI40</f>
        <v>Argentina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 t="str">
        <f>AI41</f>
        <v>Nigéria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Córeia do Sul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Grécia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/>
  <mergeCells count="1">
    <mergeCell ref="A2:E2"/>
  </mergeCell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tabSelected="1" showOutlineSymbols="0" zoomScalePageLayoutView="0" workbookViewId="0" topLeftCell="A1">
      <selection activeCell="U19" sqref="U1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08" t="s">
        <v>55</v>
      </c>
      <c r="Q4" s="209"/>
      <c r="R4" s="209"/>
      <c r="S4" s="209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09"/>
      <c r="Q5" s="209"/>
      <c r="R5" s="209"/>
      <c r="S5" s="209"/>
    </row>
    <row r="6" spans="1:18" ht="14.25" customHeight="1">
      <c r="A6" s="14">
        <f>IF(OR(L6="finalizado",L6="en juego",L6="hoy!"),"Ø","")</f>
      </c>
      <c r="B6" s="17" t="str">
        <f>Q7</f>
        <v>África do Sul</v>
      </c>
      <c r="C6" s="18"/>
      <c r="D6" s="19" t="s">
        <v>0</v>
      </c>
      <c r="E6" s="18"/>
      <c r="F6" s="20" t="str">
        <f>Q9</f>
        <v>México</v>
      </c>
      <c r="G6" s="129" t="s">
        <v>124</v>
      </c>
      <c r="H6" s="216">
        <v>40340</v>
      </c>
      <c r="I6" s="216"/>
      <c r="J6" s="213">
        <v>0.4583333333333333</v>
      </c>
      <c r="K6" s="213"/>
      <c r="L6" s="212">
        <f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Uruguai</v>
      </c>
      <c r="C7" s="18"/>
      <c r="D7" s="19" t="s">
        <v>0</v>
      </c>
      <c r="E7" s="18"/>
      <c r="F7" s="20" t="str">
        <f>Q13</f>
        <v>França</v>
      </c>
      <c r="G7" s="129" t="s">
        <v>125</v>
      </c>
      <c r="H7" s="216">
        <v>40340</v>
      </c>
      <c r="I7" s="216"/>
      <c r="J7" s="213">
        <v>0.6458333333333334</v>
      </c>
      <c r="K7" s="213"/>
      <c r="L7" s="212">
        <f>IF(OR(H7="",J7="",H7&lt;$Q$24),"",IF(H7=$Q$24,IF(AND(J7&lt;=$R$26,$R$26&lt;=(J7+0.08333333333)),"en jogo",IF($R$26&lt;J7,"hoje!","finalizado")),IF($Q$24&gt;H7,"finalizado","")))</f>
      </c>
      <c r="M7" s="212"/>
      <c r="N7" s="21"/>
      <c r="O7" s="22"/>
      <c r="P7" s="162"/>
      <c r="Q7" s="218" t="s">
        <v>122</v>
      </c>
      <c r="R7" s="218"/>
      <c r="S7" s="162"/>
    </row>
    <row r="8" spans="1:19" ht="14.25" customHeight="1">
      <c r="A8" s="14">
        <f>IF(OR(L8="finalizado",L8="en juego",L8="hoy!"),"Ø","")</f>
      </c>
      <c r="B8" s="17" t="str">
        <f>Q7</f>
        <v>África do Sul</v>
      </c>
      <c r="C8" s="18"/>
      <c r="D8" s="19" t="s">
        <v>0</v>
      </c>
      <c r="E8" s="18"/>
      <c r="F8" s="20" t="str">
        <f>Q11</f>
        <v>Uruguai</v>
      </c>
      <c r="G8" s="129" t="s">
        <v>126</v>
      </c>
      <c r="H8" s="216">
        <v>40345</v>
      </c>
      <c r="I8" s="216"/>
      <c r="J8" s="213">
        <v>0.6458333333333334</v>
      </c>
      <c r="K8" s="213"/>
      <c r="L8" s="212">
        <f>IF(OR(H8="",J8="",H8&lt;$Q$24),"",IF(H8=$Q$24,IF(AND(J8&lt;=$R$26,$R$26&lt;=(J8+0.08333333333)),"em jogo",IF($R$26&lt;J8,"hoje!","finalizado")),IF($Q$24&gt;H8,"finalizado","")))</f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França</v>
      </c>
      <c r="C9" s="18"/>
      <c r="D9" s="19" t="s">
        <v>0</v>
      </c>
      <c r="E9" s="18"/>
      <c r="F9" s="20" t="str">
        <f>Q9</f>
        <v>México</v>
      </c>
      <c r="G9" s="129" t="s">
        <v>127</v>
      </c>
      <c r="H9" s="216">
        <v>40346</v>
      </c>
      <c r="I9" s="216"/>
      <c r="J9" s="213">
        <v>0.3541666666666667</v>
      </c>
      <c r="K9" s="213"/>
      <c r="L9" s="212">
        <f>IF(OR(H9="",J9="",H9&lt;$Q$24),"",IF(H9=$Q$24,IF(AND(J9&lt;=$R$26,$R$26&lt;=(J9+0.08333333333)),"em jogo",IF($R$26&lt;J9,"hoje!","finalizado")),IF($Q$24&gt;H9,"finalizado","")))</f>
      </c>
      <c r="M9" s="212"/>
      <c r="P9" s="162"/>
      <c r="Q9" s="218" t="s">
        <v>86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França</v>
      </c>
      <c r="C10" s="18"/>
      <c r="D10" s="19" t="s">
        <v>0</v>
      </c>
      <c r="E10" s="18"/>
      <c r="F10" s="20" t="str">
        <f>Q7</f>
        <v>África do Sul</v>
      </c>
      <c r="G10" s="129" t="s">
        <v>128</v>
      </c>
      <c r="H10" s="216">
        <v>40351</v>
      </c>
      <c r="I10" s="216"/>
      <c r="J10" s="213">
        <v>0.4583333333333333</v>
      </c>
      <c r="K10" s="213"/>
      <c r="L10" s="212">
        <f>IF(OR(H10="",J10="",H10&lt;$Q$24),"",IF(H10=$Q$24,IF(AND(J10&lt;=$R$26,$R$26&lt;=(J10+0.08333333333)),"em jogo",IF($R$26&lt;J10,"hoje!","finalizado")),IF($Q$24&gt;H10,"finalizado","")))</f>
      </c>
      <c r="M10" s="212"/>
      <c r="P10" s="163"/>
      <c r="Q10" s="163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México</v>
      </c>
      <c r="C11" s="18"/>
      <c r="D11" s="19" t="s">
        <v>0</v>
      </c>
      <c r="E11" s="18"/>
      <c r="F11" s="20" t="str">
        <f>Q11</f>
        <v>Uruguai</v>
      </c>
      <c r="G11" s="129" t="s">
        <v>129</v>
      </c>
      <c r="H11" s="216">
        <v>40351</v>
      </c>
      <c r="I11" s="216"/>
      <c r="J11" s="213">
        <v>0.4583333333333333</v>
      </c>
      <c r="K11" s="213"/>
      <c r="L11" s="212">
        <f>IF(OR(H11="",J11="",H11&lt;$Q$24),"",IF(H11=$Q$24,IF(AND(J11&lt;=$R$26,$R$26&lt;=(J11+0.08333333333)),"en jogo",IF($R$26&lt;J11,"hoje!","finalizado")),IF($Q$24&gt;H11,"finalizado","")))</f>
      </c>
      <c r="M11" s="212"/>
      <c r="P11" s="162"/>
      <c r="Q11" s="218" t="s">
        <v>123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163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91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58"/>
      <c r="K14" s="12"/>
      <c r="L14" s="31"/>
      <c r="M14" s="31"/>
      <c r="Q14" s="157"/>
      <c r="R14" s="159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107</v>
      </c>
      <c r="G17" s="50" t="str">
        <f>calculoA!F52</f>
        <v>África do Sul</v>
      </c>
      <c r="H17" s="20">
        <f>calculoA!G52</f>
        <v>0</v>
      </c>
      <c r="I17" s="20">
        <f>calculoA!H52</f>
        <v>0</v>
      </c>
      <c r="J17" s="20">
        <f>calculoA!I52</f>
        <v>0</v>
      </c>
      <c r="K17" s="20">
        <f>calculoA!J52</f>
        <v>0</v>
      </c>
      <c r="L17" s="20">
        <f>calculoA!K52</f>
        <v>0</v>
      </c>
      <c r="M17" s="20">
        <f>calculoA!L52</f>
        <v>0</v>
      </c>
      <c r="N17" s="20">
        <f>L17-M17</f>
        <v>0</v>
      </c>
      <c r="O17" s="20">
        <f>calculoA!M52</f>
        <v>0</v>
      </c>
      <c r="P17" s="35"/>
      <c r="Q17" s="33"/>
      <c r="R17" s="34"/>
      <c r="S17" s="33"/>
    </row>
    <row r="18" spans="6:19" ht="12.75">
      <c r="F18" s="53" t="s">
        <v>107</v>
      </c>
      <c r="G18" s="50" t="str">
        <f>calculoA!F53</f>
        <v>México</v>
      </c>
      <c r="H18" s="20">
        <f>calculoA!G53</f>
        <v>0</v>
      </c>
      <c r="I18" s="20">
        <f>calculoA!H53</f>
        <v>0</v>
      </c>
      <c r="J18" s="20">
        <f>calculoA!I53</f>
        <v>0</v>
      </c>
      <c r="K18" s="20">
        <f>calculoA!J53</f>
        <v>0</v>
      </c>
      <c r="L18" s="20">
        <f>calculoA!K53</f>
        <v>0</v>
      </c>
      <c r="M18" s="20">
        <f>calculoA!L53</f>
        <v>0</v>
      </c>
      <c r="N18" s="20">
        <f>L18-M18</f>
        <v>0</v>
      </c>
      <c r="O18" s="20">
        <f>calculoA!M53</f>
        <v>0</v>
      </c>
      <c r="P18" s="35"/>
      <c r="Q18" s="33"/>
      <c r="R18" s="34"/>
      <c r="S18" s="33"/>
    </row>
    <row r="19" spans="6:19" ht="12.75">
      <c r="F19" s="33"/>
      <c r="G19" s="50" t="str">
        <f>calculoA!F54</f>
        <v>Uruguai</v>
      </c>
      <c r="H19" s="20">
        <f>calculoA!G54</f>
        <v>0</v>
      </c>
      <c r="I19" s="20">
        <f>calculoA!H54</f>
        <v>0</v>
      </c>
      <c r="J19" s="20">
        <f>calculoA!I54</f>
        <v>0</v>
      </c>
      <c r="K19" s="20">
        <f>calculoA!J54</f>
        <v>0</v>
      </c>
      <c r="L19" s="20">
        <f>calculoA!K54</f>
        <v>0</v>
      </c>
      <c r="M19" s="20">
        <f>calculoA!L54</f>
        <v>0</v>
      </c>
      <c r="N19" s="20">
        <f>L19-M19</f>
        <v>0</v>
      </c>
      <c r="O19" s="20">
        <f>calculoA!M54</f>
        <v>0</v>
      </c>
      <c r="P19" s="36"/>
      <c r="Q19" s="33"/>
      <c r="R19" s="34"/>
      <c r="S19" s="33"/>
    </row>
    <row r="20" spans="6:19" ht="12.75">
      <c r="F20" s="33"/>
      <c r="G20" s="50" t="str">
        <f>calculoA!F55</f>
        <v>França</v>
      </c>
      <c r="H20" s="20">
        <f>calculoA!G55</f>
        <v>0</v>
      </c>
      <c r="I20" s="20">
        <f>calculoA!H55</f>
        <v>0</v>
      </c>
      <c r="J20" s="20">
        <f>calculoA!I55</f>
        <v>0</v>
      </c>
      <c r="K20" s="20">
        <f>calculoA!J55</f>
        <v>0</v>
      </c>
      <c r="L20" s="20">
        <f>calculoA!K55</f>
        <v>0</v>
      </c>
      <c r="M20" s="20">
        <f>calculoA!L55</f>
        <v>0</v>
      </c>
      <c r="N20" s="20">
        <f>L20-M20</f>
        <v>0</v>
      </c>
      <c r="O20" s="20">
        <f>calculoA!M55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Q7:R7"/>
    <mergeCell ref="Q9:R9"/>
    <mergeCell ref="Q11:R11"/>
    <mergeCell ref="Q13:R13"/>
    <mergeCell ref="G15:O15"/>
    <mergeCell ref="L9:M9"/>
    <mergeCell ref="L10:M10"/>
    <mergeCell ref="L11:M11"/>
    <mergeCell ref="H10:I10"/>
    <mergeCell ref="H11:I11"/>
    <mergeCell ref="J11:K11"/>
    <mergeCell ref="J9:K9"/>
    <mergeCell ref="J10:K10"/>
    <mergeCell ref="H9:I9"/>
    <mergeCell ref="A1:S2"/>
    <mergeCell ref="B4:M4"/>
    <mergeCell ref="H6:I6"/>
    <mergeCell ref="J6:K6"/>
    <mergeCell ref="L5:M5"/>
    <mergeCell ref="L6:M6"/>
    <mergeCell ref="P4:S5"/>
    <mergeCell ref="H5:I5"/>
    <mergeCell ref="J5:K5"/>
    <mergeCell ref="L7:M7"/>
    <mergeCell ref="L8:M8"/>
    <mergeCell ref="J7:K7"/>
    <mergeCell ref="J8:K8"/>
    <mergeCell ref="H7:I7"/>
    <mergeCell ref="H8:I8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G7 J7:M7">
    <cfRule type="expression" priority="3" dxfId="0" stopIfTrue="1">
      <formula>IF(OR($L$7="en juego",$L$7="hoy!"),1,0)</formula>
    </cfRule>
  </conditionalFormatting>
  <conditionalFormatting sqref="B6:M6 H7:I7">
    <cfRule type="expression" priority="4" dxfId="0" stopIfTrue="1">
      <formula>IF(OR($L$6="en juego",$L$6="hoy!"),1,0)</formula>
    </cfRule>
  </conditionalFormatting>
  <conditionalFormatting sqref="B8:M8">
    <cfRule type="expression" priority="5" dxfId="0" stopIfTrue="1">
      <formula>IF(OR($L$8="en juego",$L$8="hoy!"),1,0)</formula>
    </cfRule>
  </conditionalFormatting>
  <conditionalFormatting sqref="B9:M9">
    <cfRule type="expression" priority="6" dxfId="0" stopIfTrue="1">
      <formula>IF(OR($L$9="en juego",$L$9="hoy!"),1,0)</formula>
    </cfRule>
  </conditionalFormatting>
  <conditionalFormatting sqref="B10:M10 H11:K11">
    <cfRule type="expression" priority="7" dxfId="0" stopIfTrue="1">
      <formula>IF(OR($L$10="en juego",$L$10="hoy!"),1,0)</formula>
    </cfRule>
  </conditionalFormatting>
  <conditionalFormatting sqref="B11:G11 L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RowColHeaders="0" showOutlineSymbols="0" zoomScalePageLayoutView="0" workbookViewId="0" topLeftCell="A1">
      <selection activeCell="U11" sqref="U11"/>
    </sheetView>
  </sheetViews>
  <sheetFormatPr defaultColWidth="11.421875" defaultRowHeight="12.75"/>
  <cols>
    <col min="1" max="1" width="2.7109375" style="4" customWidth="1"/>
    <col min="2" max="2" width="15.57421875" style="4" bestFit="1" customWidth="1"/>
    <col min="3" max="3" width="3.28125" style="4" customWidth="1"/>
    <col min="4" max="4" width="1.7109375" style="4" customWidth="1"/>
    <col min="5" max="5" width="3.421875" style="4" customWidth="1"/>
    <col min="6" max="6" width="18.28125" style="4" bestFit="1" customWidth="1"/>
    <col min="7" max="7" width="14.00390625" style="4" bestFit="1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56</v>
      </c>
      <c r="Q4" s="220"/>
      <c r="R4" s="220"/>
      <c r="S4" s="220"/>
    </row>
    <row r="5" spans="2:19" ht="12.75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7" t="str">
        <f>Q7</f>
        <v>Argentina</v>
      </c>
      <c r="C6" s="18"/>
      <c r="D6" s="19" t="s">
        <v>0</v>
      </c>
      <c r="E6" s="18"/>
      <c r="F6" s="20" t="str">
        <f>Q9</f>
        <v>Nigéria</v>
      </c>
      <c r="G6" s="129" t="s">
        <v>124</v>
      </c>
      <c r="H6" s="216">
        <v>40341</v>
      </c>
      <c r="I6" s="216"/>
      <c r="J6" s="213">
        <v>0.3541666666666667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Córeia do Sul</v>
      </c>
      <c r="C7" s="18"/>
      <c r="D7" s="19" t="s">
        <v>0</v>
      </c>
      <c r="E7" s="18"/>
      <c r="F7" s="20" t="str">
        <f>Q13</f>
        <v>Grécia</v>
      </c>
      <c r="G7" s="129" t="s">
        <v>134</v>
      </c>
      <c r="H7" s="216">
        <v>40341</v>
      </c>
      <c r="I7" s="216"/>
      <c r="J7" s="213">
        <v>0.4583333333333333</v>
      </c>
      <c r="K7" s="213"/>
      <c r="L7" s="212">
        <f t="shared" si="0"/>
      </c>
      <c r="M7" s="212"/>
      <c r="N7" s="21"/>
      <c r="O7" s="22"/>
      <c r="P7" s="162"/>
      <c r="Q7" s="218" t="s">
        <v>40</v>
      </c>
      <c r="R7" s="218"/>
      <c r="S7" s="162"/>
    </row>
    <row r="8" spans="1:19" ht="14.25" customHeight="1">
      <c r="A8" s="14">
        <f>IF(OR(L8="finalizado",L8="en juego",L8="hoy!"),"Ø","")</f>
      </c>
      <c r="B8" s="17" t="str">
        <f>Q7</f>
        <v>Argentina</v>
      </c>
      <c r="C8" s="18"/>
      <c r="D8" s="19" t="s">
        <v>0</v>
      </c>
      <c r="E8" s="18"/>
      <c r="F8" s="20" t="str">
        <f>Q11</f>
        <v>Córeia do Sul</v>
      </c>
      <c r="G8" s="129" t="s">
        <v>129</v>
      </c>
      <c r="H8" s="216">
        <v>40346</v>
      </c>
      <c r="I8" s="216"/>
      <c r="J8" s="213">
        <v>0.6458333333333334</v>
      </c>
      <c r="K8" s="213"/>
      <c r="L8" s="212">
        <f t="shared" si="0"/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Grécia</v>
      </c>
      <c r="C9" s="18"/>
      <c r="D9" s="19" t="s">
        <v>0</v>
      </c>
      <c r="E9" s="18"/>
      <c r="F9" s="20" t="str">
        <f>Q9</f>
        <v>Nigéria</v>
      </c>
      <c r="G9" s="129" t="s">
        <v>124</v>
      </c>
      <c r="H9" s="216">
        <v>40346</v>
      </c>
      <c r="I9" s="216"/>
      <c r="J9" s="213">
        <v>0.4583333333333333</v>
      </c>
      <c r="K9" s="213"/>
      <c r="L9" s="212">
        <f t="shared" si="0"/>
      </c>
      <c r="M9" s="212"/>
      <c r="P9" s="162"/>
      <c r="Q9" s="218" t="s">
        <v>131</v>
      </c>
      <c r="R9" s="218"/>
      <c r="S9" s="162"/>
    </row>
    <row r="10" spans="1:21" ht="14.25" customHeight="1">
      <c r="A10" s="14">
        <f>IF(OR(L10="finalizado",L10="em jogo",L10="hoje!"),"Ø","")</f>
      </c>
      <c r="B10" s="17" t="str">
        <f>Q13</f>
        <v>Grécia</v>
      </c>
      <c r="C10" s="18"/>
      <c r="D10" s="19" t="s">
        <v>0</v>
      </c>
      <c r="E10" s="18"/>
      <c r="F10" s="20" t="str">
        <f>Q7</f>
        <v>Argentina</v>
      </c>
      <c r="G10" s="129" t="s">
        <v>135</v>
      </c>
      <c r="H10" s="216">
        <v>40351</v>
      </c>
      <c r="I10" s="216"/>
      <c r="J10" s="213">
        <v>0.6458333333333334</v>
      </c>
      <c r="K10" s="213"/>
      <c r="L10" s="212">
        <f t="shared" si="0"/>
      </c>
      <c r="M10" s="212"/>
      <c r="P10" s="163"/>
      <c r="Q10" s="60"/>
      <c r="R10" s="71"/>
      <c r="S10" s="163"/>
      <c r="U10" s="163"/>
    </row>
    <row r="11" spans="1:19" ht="14.25" customHeight="1">
      <c r="A11" s="14">
        <f>IF(OR(L11="finalizado",L11="em jogo",L11="hoje!"),"Ø","")</f>
      </c>
      <c r="B11" s="17" t="str">
        <f>Q9</f>
        <v>Nigéria</v>
      </c>
      <c r="C11" s="18"/>
      <c r="D11" s="19" t="s">
        <v>0</v>
      </c>
      <c r="E11" s="18"/>
      <c r="F11" s="20" t="str">
        <f>Q11</f>
        <v>Córeia do Sul</v>
      </c>
      <c r="G11" s="129" t="s">
        <v>127</v>
      </c>
      <c r="H11" s="216">
        <v>40351</v>
      </c>
      <c r="I11" s="216"/>
      <c r="J11" s="213">
        <v>0.6458333333333334</v>
      </c>
      <c r="K11" s="213"/>
      <c r="L11" s="212">
        <f t="shared" si="0"/>
      </c>
      <c r="M11" s="212"/>
      <c r="P11" s="162"/>
      <c r="Q11" s="218" t="s">
        <v>132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133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calculoB!F52</f>
        <v>Argentina</v>
      </c>
      <c r="H17" s="20">
        <f>calculoB!G52</f>
        <v>0</v>
      </c>
      <c r="I17" s="20">
        <f>calculoB!H52</f>
        <v>0</v>
      </c>
      <c r="J17" s="20">
        <f>calculoB!I52</f>
        <v>0</v>
      </c>
      <c r="K17" s="20">
        <f>calculoB!J52</f>
        <v>0</v>
      </c>
      <c r="L17" s="20">
        <f>calculoB!K52</f>
        <v>0</v>
      </c>
      <c r="M17" s="20">
        <f>calculoB!L52</f>
        <v>0</v>
      </c>
      <c r="N17" s="20">
        <f>L17-M17</f>
        <v>0</v>
      </c>
      <c r="O17" s="20">
        <f>calculoB!M52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calculoB!F53</f>
        <v>Nigéria</v>
      </c>
      <c r="H18" s="20">
        <f>calculoB!G53</f>
        <v>0</v>
      </c>
      <c r="I18" s="20">
        <f>calculoB!H53</f>
        <v>0</v>
      </c>
      <c r="J18" s="20">
        <f>calculoB!I53</f>
        <v>0</v>
      </c>
      <c r="K18" s="20">
        <f>calculoB!J53</f>
        <v>0</v>
      </c>
      <c r="L18" s="20">
        <f>calculoB!K53</f>
        <v>0</v>
      </c>
      <c r="M18" s="20">
        <f>calculoB!L53</f>
        <v>0</v>
      </c>
      <c r="N18" s="20">
        <f>L18-M18</f>
        <v>0</v>
      </c>
      <c r="O18" s="20">
        <f>calculoB!M53</f>
        <v>0</v>
      </c>
      <c r="P18" s="35"/>
      <c r="Q18" s="33"/>
      <c r="R18" s="34"/>
      <c r="S18" s="33"/>
    </row>
    <row r="19" spans="6:19" ht="12.75">
      <c r="F19" s="33"/>
      <c r="G19" s="50" t="str">
        <f>calculoB!F54</f>
        <v>Córeia do Sul</v>
      </c>
      <c r="H19" s="20">
        <f>calculoB!G54</f>
        <v>0</v>
      </c>
      <c r="I19" s="20">
        <f>calculoB!H54</f>
        <v>0</v>
      </c>
      <c r="J19" s="20">
        <f>calculoB!I54</f>
        <v>0</v>
      </c>
      <c r="K19" s="20">
        <f>calculoB!J54</f>
        <v>0</v>
      </c>
      <c r="L19" s="20">
        <f>calculoB!K54</f>
        <v>0</v>
      </c>
      <c r="M19" s="20">
        <f>calculoB!L54</f>
        <v>0</v>
      </c>
      <c r="N19" s="20">
        <f>L19-M19</f>
        <v>0</v>
      </c>
      <c r="O19" s="20">
        <f>calculoB!M54</f>
        <v>0</v>
      </c>
      <c r="P19" s="36"/>
      <c r="Q19" s="33"/>
      <c r="R19" s="34"/>
      <c r="S19" s="33"/>
    </row>
    <row r="20" spans="6:19" ht="12.75">
      <c r="F20" s="33"/>
      <c r="G20" s="50" t="str">
        <f>calculoB!F55</f>
        <v>Grécia</v>
      </c>
      <c r="H20" s="20">
        <f>calculoB!G55</f>
        <v>0</v>
      </c>
      <c r="I20" s="20">
        <f>calculoB!H55</f>
        <v>0</v>
      </c>
      <c r="J20" s="20">
        <f>calculoB!I55</f>
        <v>0</v>
      </c>
      <c r="K20" s="20">
        <f>calculoB!J55</f>
        <v>0</v>
      </c>
      <c r="L20" s="20">
        <f>calculoB!K55</f>
        <v>0</v>
      </c>
      <c r="M20" s="20">
        <f>calculoB!L55</f>
        <v>0</v>
      </c>
      <c r="N20" s="20">
        <f>L20-M20</f>
        <v>0</v>
      </c>
      <c r="O20" s="20">
        <f>calculoB!M55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4:20" ht="12.75" hidden="1">
      <c r="N25" s="38"/>
      <c r="O25" s="38"/>
      <c r="P25" s="38"/>
      <c r="Q25" s="45">
        <f>HOUR(R24)</f>
        <v>13</v>
      </c>
      <c r="R25" s="45">
        <f>MINUTE(R24)</f>
        <v>23</v>
      </c>
      <c r="S25" s="44"/>
      <c r="T25" s="5"/>
    </row>
    <row r="26" spans="14:20" ht="12.75" hidden="1">
      <c r="N26" s="38"/>
      <c r="O26" s="38"/>
      <c r="Q26" s="45"/>
      <c r="R26" s="46">
        <f>TIME(Q25,R25,0)</f>
        <v>0.5576388888888889</v>
      </c>
      <c r="S26" s="44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G7 J7:M7">
    <cfRule type="expression" priority="3" dxfId="0" stopIfTrue="1">
      <formula>IF(OR($L$7="en juego",$L$7="hoy!"),1,0)</formula>
    </cfRule>
  </conditionalFormatting>
  <conditionalFormatting sqref="B6:M6 H7:I7">
    <cfRule type="expression" priority="4" dxfId="0" stopIfTrue="1">
      <formula>IF(OR($L$6="en juego",$L$6="hoy!"),1,0)</formula>
    </cfRule>
  </conditionalFormatting>
  <conditionalFormatting sqref="B8:M8 H9:I9">
    <cfRule type="expression" priority="5" dxfId="0" stopIfTrue="1">
      <formula>IF(OR($L$8="en juego",$L$8="hoy!"),1,0)</formula>
    </cfRule>
  </conditionalFormatting>
  <conditionalFormatting sqref="B9:G9 J9:M9">
    <cfRule type="expression" priority="6" dxfId="0" stopIfTrue="1">
      <formula>IF(OR($L$9="en juego",$L$9="hoy!"),1,0)</formula>
    </cfRule>
  </conditionalFormatting>
  <conditionalFormatting sqref="B10:M10 H11:I11">
    <cfRule type="expression" priority="7" dxfId="0" stopIfTrue="1">
      <formula>IF(OR($L$10="en juego",$L$10="hoy!"),1,0)</formula>
    </cfRule>
  </conditionalFormatting>
  <conditionalFormatting sqref="B11:G11 J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showOutlineSymbols="0" zoomScalePageLayoutView="0" workbookViewId="0" topLeftCell="A1">
      <selection activeCell="F7" sqref="F7"/>
    </sheetView>
  </sheetViews>
  <sheetFormatPr defaultColWidth="11.421875" defaultRowHeight="12.75"/>
  <cols>
    <col min="1" max="1" width="2.7109375" style="4" customWidth="1"/>
    <col min="2" max="2" width="18.28125" style="4" bestFit="1" customWidth="1"/>
    <col min="3" max="3" width="3.28125" style="4" customWidth="1"/>
    <col min="4" max="4" width="1.7109375" style="4" customWidth="1"/>
    <col min="5" max="5" width="3.421875" style="4" customWidth="1"/>
    <col min="6" max="6" width="18.28125" style="4" bestFit="1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8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57</v>
      </c>
      <c r="Q4" s="220"/>
      <c r="R4" s="220"/>
      <c r="S4" s="220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7" t="str">
        <f>Q7</f>
        <v>Inglaterra</v>
      </c>
      <c r="C6" s="18"/>
      <c r="D6" s="19" t="s">
        <v>0</v>
      </c>
      <c r="E6" s="18"/>
      <c r="F6" s="20" t="str">
        <f>Q9</f>
        <v>Estados Unidos</v>
      </c>
      <c r="G6" s="129" t="s">
        <v>139</v>
      </c>
      <c r="H6" s="216">
        <v>40341</v>
      </c>
      <c r="I6" s="216"/>
      <c r="J6" s="213">
        <v>0.6458333333333334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Argélia</v>
      </c>
      <c r="C7" s="18"/>
      <c r="D7" s="19" t="s">
        <v>0</v>
      </c>
      <c r="E7" s="18"/>
      <c r="F7" s="20" t="str">
        <f>Q13</f>
        <v>Eslovênia</v>
      </c>
      <c r="G7" s="129" t="s">
        <v>127</v>
      </c>
      <c r="H7" s="216">
        <v>40342</v>
      </c>
      <c r="I7" s="216"/>
      <c r="J7" s="213">
        <v>0.3541666666666667</v>
      </c>
      <c r="K7" s="213"/>
      <c r="L7" s="212">
        <f t="shared" si="0"/>
      </c>
      <c r="M7" s="212"/>
      <c r="N7" s="21"/>
      <c r="O7" s="164"/>
      <c r="P7" s="162"/>
      <c r="Q7" s="218" t="s">
        <v>41</v>
      </c>
      <c r="R7" s="218"/>
      <c r="S7" s="162"/>
    </row>
    <row r="8" spans="1:19" ht="14.25" customHeight="1">
      <c r="A8" s="14">
        <f>IF(OR(L8="finalizado",L8="en juego",L8="hoy!"),"Ø","")</f>
      </c>
      <c r="B8" s="17" t="str">
        <f>Q7</f>
        <v>Inglaterra</v>
      </c>
      <c r="C8" s="18"/>
      <c r="D8" s="19" t="s">
        <v>0</v>
      </c>
      <c r="E8" s="18"/>
      <c r="F8" s="20" t="str">
        <f>Q11</f>
        <v>Argélia</v>
      </c>
      <c r="G8" s="129" t="s">
        <v>124</v>
      </c>
      <c r="H8" s="216">
        <v>40347</v>
      </c>
      <c r="I8" s="216"/>
      <c r="J8" s="213">
        <v>0.6458333333333334</v>
      </c>
      <c r="K8" s="213"/>
      <c r="L8" s="212">
        <f t="shared" si="0"/>
      </c>
      <c r="M8" s="212"/>
      <c r="N8" s="23"/>
      <c r="O8" s="165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Eslovênia</v>
      </c>
      <c r="C9" s="18"/>
      <c r="D9" s="19" t="s">
        <v>0</v>
      </c>
      <c r="E9" s="18"/>
      <c r="F9" s="20" t="str">
        <f>Q9</f>
        <v>Estados Unidos</v>
      </c>
      <c r="G9" s="129" t="s">
        <v>125</v>
      </c>
      <c r="H9" s="216">
        <v>40347</v>
      </c>
      <c r="I9" s="216"/>
      <c r="J9" s="213">
        <v>0.4583333333333333</v>
      </c>
      <c r="K9" s="213"/>
      <c r="L9" s="212">
        <f t="shared" si="0"/>
      </c>
      <c r="M9" s="212"/>
      <c r="O9" s="163"/>
      <c r="P9" s="162"/>
      <c r="Q9" s="218" t="s">
        <v>136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Eslovênia</v>
      </c>
      <c r="C10" s="18"/>
      <c r="D10" s="19" t="s">
        <v>0</v>
      </c>
      <c r="E10" s="18"/>
      <c r="F10" s="20" t="str">
        <f>Q7</f>
        <v>Inglaterra</v>
      </c>
      <c r="G10" s="129" t="s">
        <v>134</v>
      </c>
      <c r="H10" s="216">
        <v>40352</v>
      </c>
      <c r="I10" s="216"/>
      <c r="J10" s="213">
        <v>0.4583333333333333</v>
      </c>
      <c r="K10" s="213"/>
      <c r="L10" s="212">
        <f t="shared" si="0"/>
      </c>
      <c r="M10" s="212"/>
      <c r="O10" s="163"/>
      <c r="P10" s="163"/>
      <c r="Q10" s="60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Estados Unidos</v>
      </c>
      <c r="C11" s="18"/>
      <c r="D11" s="19" t="s">
        <v>0</v>
      </c>
      <c r="E11" s="18"/>
      <c r="F11" s="20" t="str">
        <f>Q11</f>
        <v>Argélia</v>
      </c>
      <c r="G11" s="129" t="s">
        <v>126</v>
      </c>
      <c r="H11" s="216">
        <v>40352</v>
      </c>
      <c r="I11" s="216"/>
      <c r="J11" s="213">
        <v>0.4583333333333333</v>
      </c>
      <c r="K11" s="213"/>
      <c r="L11" s="212">
        <f t="shared" si="0"/>
      </c>
      <c r="M11" s="212"/>
      <c r="O11" s="163"/>
      <c r="P11" s="162"/>
      <c r="Q11" s="218" t="s">
        <v>137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O12" s="163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O13" s="163"/>
      <c r="P13" s="162"/>
      <c r="Q13" s="218" t="s">
        <v>138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calculoC!F52</f>
        <v>Inglaterra</v>
      </c>
      <c r="H17" s="20">
        <f>calculoC!G52</f>
        <v>0</v>
      </c>
      <c r="I17" s="20">
        <f>calculoC!H52</f>
        <v>0</v>
      </c>
      <c r="J17" s="20">
        <f>calculoC!I52</f>
        <v>0</v>
      </c>
      <c r="K17" s="20">
        <f>calculoC!J52</f>
        <v>0</v>
      </c>
      <c r="L17" s="20">
        <f>calculoC!K52</f>
        <v>0</v>
      </c>
      <c r="M17" s="20">
        <f>calculoC!L52</f>
        <v>0</v>
      </c>
      <c r="N17" s="20">
        <f>L17-M17</f>
        <v>0</v>
      </c>
      <c r="O17" s="20">
        <f>calculoC!M52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calculoC!F53</f>
        <v>Estados Unidos</v>
      </c>
      <c r="H18" s="20">
        <f>calculoC!G53</f>
        <v>0</v>
      </c>
      <c r="I18" s="20">
        <f>calculoC!H53</f>
        <v>0</v>
      </c>
      <c r="J18" s="20">
        <f>calculoC!I53</f>
        <v>0</v>
      </c>
      <c r="K18" s="20">
        <f>calculoC!J53</f>
        <v>0</v>
      </c>
      <c r="L18" s="20">
        <f>calculoC!K53</f>
        <v>0</v>
      </c>
      <c r="M18" s="20">
        <f>calculoC!L53</f>
        <v>0</v>
      </c>
      <c r="N18" s="20">
        <f>L18-M18</f>
        <v>0</v>
      </c>
      <c r="O18" s="20">
        <f>calculoC!M53</f>
        <v>0</v>
      </c>
      <c r="P18" s="35"/>
      <c r="Q18" s="33"/>
      <c r="R18" s="34"/>
      <c r="S18" s="33"/>
    </row>
    <row r="19" spans="6:19" ht="12.75">
      <c r="F19" s="33"/>
      <c r="G19" s="50" t="str">
        <f>calculoC!F54</f>
        <v>Argélia</v>
      </c>
      <c r="H19" s="20">
        <f>calculoC!G54</f>
        <v>0</v>
      </c>
      <c r="I19" s="20">
        <f>calculoC!H54</f>
        <v>0</v>
      </c>
      <c r="J19" s="20">
        <f>calculoC!I54</f>
        <v>0</v>
      </c>
      <c r="K19" s="20">
        <f>calculoC!J54</f>
        <v>0</v>
      </c>
      <c r="L19" s="20">
        <f>calculoC!K54</f>
        <v>0</v>
      </c>
      <c r="M19" s="20">
        <f>calculoC!L54</f>
        <v>0</v>
      </c>
      <c r="N19" s="20">
        <f>L19-M19</f>
        <v>0</v>
      </c>
      <c r="O19" s="20">
        <f>calculoC!M54</f>
        <v>0</v>
      </c>
      <c r="P19" s="36"/>
      <c r="Q19" s="33"/>
      <c r="R19" s="34"/>
      <c r="S19" s="33"/>
    </row>
    <row r="20" spans="6:19" ht="12.75">
      <c r="F20" s="33"/>
      <c r="G20" s="50" t="str">
        <f>calculoC!F55</f>
        <v>Eslovênia</v>
      </c>
      <c r="H20" s="20">
        <f>calculoC!G55</f>
        <v>0</v>
      </c>
      <c r="I20" s="20">
        <f>calculoC!H55</f>
        <v>0</v>
      </c>
      <c r="J20" s="20">
        <f>calculoC!I55</f>
        <v>0</v>
      </c>
      <c r="K20" s="20">
        <f>calculoC!J55</f>
        <v>0</v>
      </c>
      <c r="L20" s="20">
        <f>calculoC!K55</f>
        <v>0</v>
      </c>
      <c r="M20" s="20">
        <f>calculoC!L55</f>
        <v>0</v>
      </c>
      <c r="N20" s="20">
        <f>L20-M20</f>
        <v>0</v>
      </c>
      <c r="O20" s="20">
        <f>calculoC!M55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M7">
    <cfRule type="expression" priority="3" dxfId="0" stopIfTrue="1">
      <formula>IF(OR($L$7="en juego",$L$7="hoy!"),1,0)</formula>
    </cfRule>
  </conditionalFormatting>
  <conditionalFormatting sqref="B6:M6">
    <cfRule type="expression" priority="4" dxfId="0" stopIfTrue="1">
      <formula>IF(OR($L$6="en juego",$L$6="hoy!"),1,0)</formula>
    </cfRule>
  </conditionalFormatting>
  <conditionalFormatting sqref="B8:M8 H9:I9">
    <cfRule type="expression" priority="5" dxfId="0" stopIfTrue="1">
      <formula>IF(OR($L$8="en juego",$L$8="hoy!"),1,0)</formula>
    </cfRule>
  </conditionalFormatting>
  <conditionalFormatting sqref="B9:G9 J9:M9">
    <cfRule type="expression" priority="6" dxfId="0" stopIfTrue="1">
      <formula>IF(OR($L$9="en juego",$L$9="hoy!"),1,0)</formula>
    </cfRule>
  </conditionalFormatting>
  <conditionalFormatting sqref="B10:M10 H11:I11">
    <cfRule type="expression" priority="7" dxfId="0" stopIfTrue="1">
      <formula>IF(OR($L$10="en juego",$L$10="hoy!"),1,0)</formula>
    </cfRule>
  </conditionalFormatting>
  <conditionalFormatting sqref="B11:G11 J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showOutlineSymbols="0" zoomScalePageLayoutView="0" workbookViewId="0" topLeftCell="A1">
      <selection activeCell="T5" sqref="T5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58</v>
      </c>
      <c r="Q4" s="220"/>
      <c r="R4" s="220"/>
      <c r="S4" s="220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7" t="str">
        <f>Q7</f>
        <v>Alemanha</v>
      </c>
      <c r="C6" s="18"/>
      <c r="D6" s="19" t="s">
        <v>0</v>
      </c>
      <c r="E6" s="18"/>
      <c r="F6" s="20" t="str">
        <f>Q9</f>
        <v>Austrália</v>
      </c>
      <c r="G6" s="129" t="s">
        <v>135</v>
      </c>
      <c r="H6" s="216">
        <v>40342</v>
      </c>
      <c r="I6" s="216"/>
      <c r="J6" s="213">
        <v>0.4583333333333333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Sérvia</v>
      </c>
      <c r="C7" s="18"/>
      <c r="D7" s="19" t="s">
        <v>0</v>
      </c>
      <c r="E7" s="18"/>
      <c r="F7" s="20" t="str">
        <f>Q13</f>
        <v>Gana</v>
      </c>
      <c r="G7" s="129" t="s">
        <v>126</v>
      </c>
      <c r="H7" s="216">
        <v>40342</v>
      </c>
      <c r="I7" s="216"/>
      <c r="J7" s="213">
        <v>0.6458333333333334</v>
      </c>
      <c r="K7" s="213"/>
      <c r="L7" s="212">
        <f t="shared" si="0"/>
      </c>
      <c r="M7" s="212"/>
      <c r="N7" s="21"/>
      <c r="O7" s="22"/>
      <c r="P7" s="162"/>
      <c r="Q7" s="218" t="s">
        <v>83</v>
      </c>
      <c r="R7" s="218"/>
      <c r="S7" s="162"/>
    </row>
    <row r="8" spans="1:19" ht="14.25" customHeight="1">
      <c r="A8" s="14">
        <f>IF(OR(L8="finalizado",L8="en juego",L8="hoy!"),"Ø","")</f>
      </c>
      <c r="B8" s="17" t="str">
        <f>Q7</f>
        <v>Alemanha</v>
      </c>
      <c r="C8" s="18"/>
      <c r="D8" s="19" t="s">
        <v>0</v>
      </c>
      <c r="E8" s="18"/>
      <c r="F8" s="20" t="str">
        <f>Q11</f>
        <v>Sérvia</v>
      </c>
      <c r="G8" s="129" t="s">
        <v>134</v>
      </c>
      <c r="H8" s="216">
        <v>40347</v>
      </c>
      <c r="I8" s="216"/>
      <c r="J8" s="213">
        <v>0.3541666666666667</v>
      </c>
      <c r="K8" s="213"/>
      <c r="L8" s="212">
        <f t="shared" si="0"/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Gana</v>
      </c>
      <c r="C9" s="18"/>
      <c r="D9" s="19" t="s">
        <v>0</v>
      </c>
      <c r="E9" s="18"/>
      <c r="F9" s="20" t="str">
        <f>Q9</f>
        <v>Austrália</v>
      </c>
      <c r="G9" s="129" t="s">
        <v>139</v>
      </c>
      <c r="H9" s="216">
        <v>40348</v>
      </c>
      <c r="I9" s="216"/>
      <c r="J9" s="213">
        <v>0.3541666666666667</v>
      </c>
      <c r="K9" s="213"/>
      <c r="L9" s="212">
        <f t="shared" si="0"/>
      </c>
      <c r="M9" s="212"/>
      <c r="P9" s="162"/>
      <c r="Q9" s="218" t="s">
        <v>89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Gana</v>
      </c>
      <c r="C10" s="18"/>
      <c r="D10" s="19" t="s">
        <v>0</v>
      </c>
      <c r="E10" s="18"/>
      <c r="F10" s="20" t="str">
        <f>Q7</f>
        <v>Alemanha</v>
      </c>
      <c r="G10" s="129" t="s">
        <v>124</v>
      </c>
      <c r="H10" s="216">
        <v>40352</v>
      </c>
      <c r="I10" s="216"/>
      <c r="J10" s="213">
        <v>0.6458333333333334</v>
      </c>
      <c r="K10" s="213"/>
      <c r="L10" s="212">
        <f t="shared" si="0"/>
      </c>
      <c r="M10" s="212"/>
      <c r="P10" s="163"/>
      <c r="Q10" s="60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Austrália</v>
      </c>
      <c r="C11" s="18"/>
      <c r="D11" s="19" t="s">
        <v>0</v>
      </c>
      <c r="E11" s="18"/>
      <c r="F11" s="20" t="str">
        <f>Q11</f>
        <v>Sérvia</v>
      </c>
      <c r="G11" s="129" t="s">
        <v>141</v>
      </c>
      <c r="H11" s="216">
        <v>40352</v>
      </c>
      <c r="I11" s="216"/>
      <c r="J11" s="213">
        <v>0.6458333333333334</v>
      </c>
      <c r="K11" s="213"/>
      <c r="L11" s="212">
        <f t="shared" si="0"/>
      </c>
      <c r="M11" s="212"/>
      <c r="P11" s="162"/>
      <c r="Q11" s="218" t="s">
        <v>140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87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calculoD!F52</f>
        <v>Alemanha</v>
      </c>
      <c r="H17" s="20">
        <f>calculoD!G52</f>
        <v>0</v>
      </c>
      <c r="I17" s="20">
        <f>calculoD!H52</f>
        <v>0</v>
      </c>
      <c r="J17" s="20">
        <f>calculoD!I52</f>
        <v>0</v>
      </c>
      <c r="K17" s="20">
        <f>calculoD!J52</f>
        <v>0</v>
      </c>
      <c r="L17" s="20">
        <f>calculoD!K52</f>
        <v>0</v>
      </c>
      <c r="M17" s="20">
        <f>calculoD!L52</f>
        <v>0</v>
      </c>
      <c r="N17" s="20">
        <f>L17-M17</f>
        <v>0</v>
      </c>
      <c r="O17" s="20">
        <f>calculoD!M52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calculoD!F53</f>
        <v>Austrália</v>
      </c>
      <c r="H18" s="20">
        <f>calculoD!G53</f>
        <v>0</v>
      </c>
      <c r="I18" s="20">
        <f>calculoD!H53</f>
        <v>0</v>
      </c>
      <c r="J18" s="20">
        <f>calculoD!I53</f>
        <v>0</v>
      </c>
      <c r="K18" s="20">
        <f>calculoD!J53</f>
        <v>0</v>
      </c>
      <c r="L18" s="20">
        <f>calculoD!K53</f>
        <v>0</v>
      </c>
      <c r="M18" s="20">
        <f>calculoD!L53</f>
        <v>0</v>
      </c>
      <c r="N18" s="20">
        <f>L18-M18</f>
        <v>0</v>
      </c>
      <c r="O18" s="20">
        <f>calculoD!M53</f>
        <v>0</v>
      </c>
      <c r="P18" s="35"/>
      <c r="Q18" s="33"/>
      <c r="R18" s="34"/>
      <c r="S18" s="33"/>
    </row>
    <row r="19" spans="6:19" ht="12.75">
      <c r="F19" s="33"/>
      <c r="G19" s="50" t="str">
        <f>calculoD!F54</f>
        <v>Sérvia</v>
      </c>
      <c r="H19" s="20">
        <f>calculoD!G54</f>
        <v>0</v>
      </c>
      <c r="I19" s="20">
        <f>calculoD!H54</f>
        <v>0</v>
      </c>
      <c r="J19" s="20">
        <f>calculoD!I54</f>
        <v>0</v>
      </c>
      <c r="K19" s="20">
        <f>calculoD!J54</f>
        <v>0</v>
      </c>
      <c r="L19" s="20">
        <f>calculoD!K54</f>
        <v>0</v>
      </c>
      <c r="M19" s="20">
        <f>calculoD!L54</f>
        <v>0</v>
      </c>
      <c r="N19" s="20">
        <f>L19-M19</f>
        <v>0</v>
      </c>
      <c r="O19" s="20">
        <f>calculoD!M54</f>
        <v>0</v>
      </c>
      <c r="P19" s="36"/>
      <c r="Q19" s="33"/>
      <c r="R19" s="34"/>
      <c r="S19" s="33"/>
    </row>
    <row r="20" spans="6:19" ht="12.75">
      <c r="F20" s="33"/>
      <c r="G20" s="50" t="str">
        <f>calculoD!F55</f>
        <v>Gana</v>
      </c>
      <c r="H20" s="20">
        <f>calculoD!G55</f>
        <v>0</v>
      </c>
      <c r="I20" s="20">
        <f>calculoD!H55</f>
        <v>0</v>
      </c>
      <c r="J20" s="20">
        <f>calculoD!I55</f>
        <v>0</v>
      </c>
      <c r="K20" s="20">
        <f>calculoD!J55</f>
        <v>0</v>
      </c>
      <c r="L20" s="20">
        <f>calculoD!K55</f>
        <v>0</v>
      </c>
      <c r="M20" s="20">
        <f>calculoD!L55</f>
        <v>0</v>
      </c>
      <c r="N20" s="20">
        <f>L20-M20</f>
        <v>0</v>
      </c>
      <c r="O20" s="20">
        <f>calculoD!M55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M7 J8:K8 J10:K11">
    <cfRule type="expression" priority="3" dxfId="0" stopIfTrue="1">
      <formula>IF(OR($L$7="en juego",$L$7="hoy!"),1,0)</formula>
    </cfRule>
  </conditionalFormatting>
  <conditionalFormatting sqref="B6:M6">
    <cfRule type="expression" priority="4" dxfId="0" stopIfTrue="1">
      <formula>IF(OR($L$6="en juego",$L$6="hoy!"),1,0)</formula>
    </cfRule>
  </conditionalFormatting>
  <conditionalFormatting sqref="B8:I8 L8:M8">
    <cfRule type="expression" priority="5" dxfId="0" stopIfTrue="1">
      <formula>IF(OR($L$8="en juego",$L$8="hoy!"),1,0)</formula>
    </cfRule>
  </conditionalFormatting>
  <conditionalFormatting sqref="B9:M9">
    <cfRule type="expression" priority="6" dxfId="0" stopIfTrue="1">
      <formula>IF(OR($L$9="en juego",$L$9="hoy!"),1,0)</formula>
    </cfRule>
  </conditionalFormatting>
  <conditionalFormatting sqref="B10:I10 L10:M10">
    <cfRule type="expression" priority="7" dxfId="0" stopIfTrue="1">
      <formula>IF(OR($L$10="en juego",$L$10="hoy!"),1,0)</formula>
    </cfRule>
  </conditionalFormatting>
  <conditionalFormatting sqref="B11:I11 L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showOutlineSymbols="0" zoomScalePageLayoutView="0" workbookViewId="0" topLeftCell="A1">
      <selection activeCell="C8" sqref="C8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59</v>
      </c>
      <c r="Q4" s="220"/>
      <c r="R4" s="220"/>
      <c r="S4" s="220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7" t="str">
        <f>Q7</f>
        <v>Holanda</v>
      </c>
      <c r="C6" s="18"/>
      <c r="D6" s="19" t="s">
        <v>0</v>
      </c>
      <c r="E6" s="18"/>
      <c r="F6" s="20" t="str">
        <f>Q9</f>
        <v>Dinamarca</v>
      </c>
      <c r="G6" s="129" t="s">
        <v>124</v>
      </c>
      <c r="H6" s="216">
        <v>40343</v>
      </c>
      <c r="I6" s="216"/>
      <c r="J6" s="213">
        <v>0.3541666666666667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Japão</v>
      </c>
      <c r="C7" s="18"/>
      <c r="D7" s="19" t="s">
        <v>0</v>
      </c>
      <c r="E7" s="18"/>
      <c r="F7" s="20" t="str">
        <f>Q13</f>
        <v>Camarões</v>
      </c>
      <c r="G7" s="129" t="s">
        <v>144</v>
      </c>
      <c r="H7" s="216">
        <v>40343</v>
      </c>
      <c r="I7" s="216"/>
      <c r="J7" s="213">
        <v>0.4583333333333333</v>
      </c>
      <c r="K7" s="213"/>
      <c r="L7" s="212">
        <f t="shared" si="0"/>
      </c>
      <c r="M7" s="212"/>
      <c r="N7" s="21"/>
      <c r="O7" s="22"/>
      <c r="P7" s="162"/>
      <c r="Q7" s="218" t="s">
        <v>63</v>
      </c>
      <c r="R7" s="218"/>
      <c r="S7" s="162"/>
    </row>
    <row r="8" spans="1:19" ht="14.25" customHeight="1">
      <c r="A8" s="14">
        <f>IF(OR(L8="finalizado",L8="en juego",L8="hoy!"),"Ø","")</f>
      </c>
      <c r="B8" s="17" t="str">
        <f>Q7</f>
        <v>Holanda</v>
      </c>
      <c r="C8" s="18"/>
      <c r="D8" s="19" t="s">
        <v>0</v>
      </c>
      <c r="E8" s="18"/>
      <c r="F8" s="20" t="str">
        <f>Q11</f>
        <v>Japão</v>
      </c>
      <c r="G8" s="129" t="s">
        <v>135</v>
      </c>
      <c r="H8" s="216">
        <v>40348</v>
      </c>
      <c r="I8" s="216"/>
      <c r="J8" s="213">
        <v>0.4583333333333333</v>
      </c>
      <c r="K8" s="213"/>
      <c r="L8" s="212">
        <f t="shared" si="0"/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Camarões</v>
      </c>
      <c r="C9" s="18"/>
      <c r="D9" s="19" t="s">
        <v>0</v>
      </c>
      <c r="E9" s="18"/>
      <c r="F9" s="20" t="str">
        <f>Q9</f>
        <v>Dinamarca</v>
      </c>
      <c r="G9" s="129" t="s">
        <v>126</v>
      </c>
      <c r="H9" s="216">
        <v>40348</v>
      </c>
      <c r="I9" s="216"/>
      <c r="J9" s="213">
        <v>0.6458333333333334</v>
      </c>
      <c r="K9" s="213"/>
      <c r="L9" s="212">
        <f t="shared" si="0"/>
      </c>
      <c r="M9" s="212"/>
      <c r="P9" s="162"/>
      <c r="Q9" s="218" t="s">
        <v>142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Camarões</v>
      </c>
      <c r="C10" s="18"/>
      <c r="D10" s="19" t="s">
        <v>0</v>
      </c>
      <c r="E10" s="18"/>
      <c r="F10" s="20" t="str">
        <f>Q7</f>
        <v>Holanda</v>
      </c>
      <c r="G10" s="129" t="s">
        <v>145</v>
      </c>
      <c r="H10" s="216">
        <v>40353</v>
      </c>
      <c r="I10" s="216"/>
      <c r="J10" s="213">
        <v>0.6458333333333334</v>
      </c>
      <c r="K10" s="213"/>
      <c r="L10" s="212">
        <f t="shared" si="0"/>
      </c>
      <c r="M10" s="212"/>
      <c r="P10" s="163"/>
      <c r="Q10" s="60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Dinamarca</v>
      </c>
      <c r="C11" s="18"/>
      <c r="D11" s="19" t="s">
        <v>0</v>
      </c>
      <c r="E11" s="18"/>
      <c r="F11" s="20" t="str">
        <f>Q11</f>
        <v>Japão</v>
      </c>
      <c r="G11" s="129" t="s">
        <v>125</v>
      </c>
      <c r="H11" s="216">
        <v>40353</v>
      </c>
      <c r="I11" s="216"/>
      <c r="J11" s="213">
        <v>0.6458333333333334</v>
      </c>
      <c r="K11" s="213"/>
      <c r="L11" s="212">
        <f t="shared" si="0"/>
      </c>
      <c r="M11" s="212"/>
      <c r="P11" s="162"/>
      <c r="Q11" s="218" t="s">
        <v>90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143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calculoE!F52</f>
        <v>Holanda</v>
      </c>
      <c r="H17" s="20">
        <f>calculoE!G52</f>
        <v>0</v>
      </c>
      <c r="I17" s="20">
        <f>calculoE!H52</f>
        <v>0</v>
      </c>
      <c r="J17" s="20">
        <f>calculoE!I52</f>
        <v>0</v>
      </c>
      <c r="K17" s="20">
        <f>calculoE!J52</f>
        <v>0</v>
      </c>
      <c r="L17" s="20">
        <f>calculoE!K52</f>
        <v>0</v>
      </c>
      <c r="M17" s="20">
        <f>calculoE!L52</f>
        <v>0</v>
      </c>
      <c r="N17" s="20">
        <f>L17-M17</f>
        <v>0</v>
      </c>
      <c r="O17" s="20">
        <f>calculoE!M52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calculoE!F53</f>
        <v>Dinamarca</v>
      </c>
      <c r="H18" s="20">
        <f>calculoE!G53</f>
        <v>0</v>
      </c>
      <c r="I18" s="20">
        <f>calculoE!H53</f>
        <v>0</v>
      </c>
      <c r="J18" s="20">
        <f>calculoE!I53</f>
        <v>0</v>
      </c>
      <c r="K18" s="20">
        <f>calculoE!J53</f>
        <v>0</v>
      </c>
      <c r="L18" s="20">
        <f>calculoE!K53</f>
        <v>0</v>
      </c>
      <c r="M18" s="20">
        <f>calculoE!L53</f>
        <v>0</v>
      </c>
      <c r="N18" s="20">
        <f>L18-M18</f>
        <v>0</v>
      </c>
      <c r="O18" s="20">
        <f>calculoE!M53</f>
        <v>0</v>
      </c>
      <c r="P18" s="35"/>
      <c r="Q18" s="33"/>
      <c r="R18" s="34"/>
      <c r="S18" s="33"/>
    </row>
    <row r="19" spans="6:19" ht="12.75">
      <c r="F19" s="33"/>
      <c r="G19" s="50" t="str">
        <f>calculoE!F54</f>
        <v>Japão</v>
      </c>
      <c r="H19" s="20">
        <f>calculoE!G54</f>
        <v>0</v>
      </c>
      <c r="I19" s="20">
        <f>calculoE!H54</f>
        <v>0</v>
      </c>
      <c r="J19" s="20">
        <f>calculoE!I54</f>
        <v>0</v>
      </c>
      <c r="K19" s="20">
        <f>calculoE!J54</f>
        <v>0</v>
      </c>
      <c r="L19" s="20">
        <f>calculoE!K54</f>
        <v>0</v>
      </c>
      <c r="M19" s="20">
        <f>calculoE!L54</f>
        <v>0</v>
      </c>
      <c r="N19" s="20">
        <f>L19-M19</f>
        <v>0</v>
      </c>
      <c r="O19" s="20">
        <f>calculoE!M54</f>
        <v>0</v>
      </c>
      <c r="P19" s="36"/>
      <c r="Q19" s="33"/>
      <c r="R19" s="34"/>
      <c r="S19" s="33"/>
    </row>
    <row r="20" spans="6:19" ht="12.75">
      <c r="F20" s="33"/>
      <c r="G20" s="50" t="str">
        <f>calculoE!F55</f>
        <v>Camarões</v>
      </c>
      <c r="H20" s="20">
        <f>calculoE!G55</f>
        <v>0</v>
      </c>
      <c r="I20" s="20">
        <f>calculoE!H55</f>
        <v>0</v>
      </c>
      <c r="J20" s="20">
        <f>calculoE!I55</f>
        <v>0</v>
      </c>
      <c r="K20" s="20">
        <f>calculoE!J55</f>
        <v>0</v>
      </c>
      <c r="L20" s="20">
        <f>calculoE!K55</f>
        <v>0</v>
      </c>
      <c r="M20" s="20">
        <f>calculoE!L55</f>
        <v>0</v>
      </c>
      <c r="N20" s="20">
        <f>L20-M20</f>
        <v>0</v>
      </c>
      <c r="O20" s="20">
        <f>calculoE!M55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G7 J7:M7">
    <cfRule type="expression" priority="3" dxfId="0" stopIfTrue="1">
      <formula>IF(OR($L$7="en juego",$L$7="hoy!"),1,0)</formula>
    </cfRule>
  </conditionalFormatting>
  <conditionalFormatting sqref="B6:M6 H7:I7">
    <cfRule type="expression" priority="4" dxfId="0" stopIfTrue="1">
      <formula>IF(OR($L$6="en juego",$L$6="hoy!"),1,0)</formula>
    </cfRule>
  </conditionalFormatting>
  <conditionalFormatting sqref="B8:M8 H9:I9">
    <cfRule type="expression" priority="5" dxfId="0" stopIfTrue="1">
      <formula>IF(OR($L$8="en juego",$L$8="hoy!"),1,0)</formula>
    </cfRule>
  </conditionalFormatting>
  <conditionalFormatting sqref="B9:G9 J9:M9">
    <cfRule type="expression" priority="6" dxfId="0" stopIfTrue="1">
      <formula>IF(OR($L$9="en juego",$L$9="hoy!"),1,0)</formula>
    </cfRule>
  </conditionalFormatting>
  <conditionalFormatting sqref="B10:M10 H11:K11">
    <cfRule type="expression" priority="7" dxfId="0" stopIfTrue="1">
      <formula>IF(OR($L$10="en juego",$L$10="hoy!"),1,0)</formula>
    </cfRule>
  </conditionalFormatting>
  <conditionalFormatting sqref="B11:G11 L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showOutlineSymbols="0" zoomScalePageLayoutView="0" workbookViewId="0" topLeftCell="A1">
      <selection activeCell="C8" sqref="C8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60</v>
      </c>
      <c r="Q4" s="220"/>
      <c r="R4" s="220"/>
      <c r="S4" s="220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92" t="str">
        <f>Q7</f>
        <v>Itália</v>
      </c>
      <c r="C6" s="18"/>
      <c r="D6" s="19" t="s">
        <v>0</v>
      </c>
      <c r="E6" s="18"/>
      <c r="F6" s="20" t="str">
        <f>Q9</f>
        <v>Paraguai</v>
      </c>
      <c r="G6" s="129" t="s">
        <v>125</v>
      </c>
      <c r="H6" s="216">
        <v>40343</v>
      </c>
      <c r="I6" s="216"/>
      <c r="J6" s="213">
        <v>0.6458333333333334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Nova Zelândia</v>
      </c>
      <c r="C7" s="18"/>
      <c r="D7" s="19" t="s">
        <v>0</v>
      </c>
      <c r="E7" s="18"/>
      <c r="F7" s="20" t="str">
        <f>Q13</f>
        <v>Eslovaquia</v>
      </c>
      <c r="G7" s="129" t="s">
        <v>139</v>
      </c>
      <c r="H7" s="216">
        <v>40344</v>
      </c>
      <c r="I7" s="216"/>
      <c r="J7" s="213">
        <v>0.3541666666666667</v>
      </c>
      <c r="K7" s="213"/>
      <c r="L7" s="212">
        <f t="shared" si="0"/>
      </c>
      <c r="M7" s="212"/>
      <c r="N7" s="21"/>
      <c r="O7" s="22"/>
      <c r="P7" s="162"/>
      <c r="Q7" s="218" t="s">
        <v>88</v>
      </c>
      <c r="R7" s="218"/>
      <c r="S7" s="162"/>
    </row>
    <row r="8" spans="1:19" ht="14.25" customHeight="1">
      <c r="A8" s="14">
        <f>IF(OR(L8="finalizado",L8="en juego",L8="hoy!"),"Ø","")</f>
      </c>
      <c r="B8" s="192" t="str">
        <f>Q7</f>
        <v>Itália</v>
      </c>
      <c r="C8" s="18"/>
      <c r="D8" s="19" t="s">
        <v>0</v>
      </c>
      <c r="E8" s="18"/>
      <c r="F8" s="20" t="str">
        <f>Q11</f>
        <v>Nova Zelândia</v>
      </c>
      <c r="G8" s="129" t="s">
        <v>148</v>
      </c>
      <c r="H8" s="216">
        <v>40349</v>
      </c>
      <c r="I8" s="216"/>
      <c r="J8" s="213">
        <v>0.4583333333333333</v>
      </c>
      <c r="K8" s="213"/>
      <c r="L8" s="212">
        <f t="shared" si="0"/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Eslovaquia</v>
      </c>
      <c r="C9" s="18"/>
      <c r="D9" s="19" t="s">
        <v>0</v>
      </c>
      <c r="E9" s="18"/>
      <c r="F9" s="20" t="str">
        <f>Q9</f>
        <v>Paraguai</v>
      </c>
      <c r="G9" s="129" t="s">
        <v>141</v>
      </c>
      <c r="H9" s="216">
        <v>40349</v>
      </c>
      <c r="I9" s="216"/>
      <c r="J9" s="213">
        <v>0.3541666666666667</v>
      </c>
      <c r="K9" s="213"/>
      <c r="L9" s="212">
        <f t="shared" si="0"/>
      </c>
      <c r="M9" s="212"/>
      <c r="P9" s="162"/>
      <c r="Q9" s="218" t="s">
        <v>84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Eslovaquia</v>
      </c>
      <c r="C10" s="18"/>
      <c r="D10" s="19" t="s">
        <v>0</v>
      </c>
      <c r="E10" s="18"/>
      <c r="F10" s="193" t="str">
        <f>Q7</f>
        <v>Itália</v>
      </c>
      <c r="G10" s="129" t="s">
        <v>124</v>
      </c>
      <c r="H10" s="216">
        <v>40353</v>
      </c>
      <c r="I10" s="216"/>
      <c r="J10" s="213">
        <v>0.4583333333333333</v>
      </c>
      <c r="K10" s="213"/>
      <c r="L10" s="212">
        <f t="shared" si="0"/>
      </c>
      <c r="M10" s="212"/>
      <c r="P10" s="163"/>
      <c r="Q10" s="60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Paraguai</v>
      </c>
      <c r="C11" s="18"/>
      <c r="D11" s="19" t="s">
        <v>0</v>
      </c>
      <c r="E11" s="18"/>
      <c r="F11" s="20" t="str">
        <f>Q11</f>
        <v>Nova Zelândia</v>
      </c>
      <c r="G11" s="129" t="s">
        <v>127</v>
      </c>
      <c r="H11" s="216">
        <v>40353</v>
      </c>
      <c r="I11" s="216"/>
      <c r="J11" s="213">
        <v>0.4583333333333333</v>
      </c>
      <c r="K11" s="213"/>
      <c r="L11" s="212">
        <f t="shared" si="0"/>
      </c>
      <c r="M11" s="212"/>
      <c r="P11" s="162"/>
      <c r="Q11" s="218" t="s">
        <v>146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147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calculoF!F52</f>
        <v>Itália</v>
      </c>
      <c r="H17" s="20">
        <f>calculoF!G52</f>
        <v>0</v>
      </c>
      <c r="I17" s="20">
        <f>calculoF!H52</f>
        <v>0</v>
      </c>
      <c r="J17" s="20">
        <f>calculoF!I52</f>
        <v>0</v>
      </c>
      <c r="K17" s="20">
        <f>calculoF!J52</f>
        <v>0</v>
      </c>
      <c r="L17" s="20">
        <f>calculoF!K52</f>
        <v>0</v>
      </c>
      <c r="M17" s="20">
        <f>calculoF!L52</f>
        <v>0</v>
      </c>
      <c r="N17" s="20">
        <f>L17-M17</f>
        <v>0</v>
      </c>
      <c r="O17" s="20">
        <f>calculoF!M52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calculoF!F53</f>
        <v>Paraguai</v>
      </c>
      <c r="H18" s="20">
        <f>calculoF!G53</f>
        <v>0</v>
      </c>
      <c r="I18" s="20">
        <f>calculoF!H53</f>
        <v>0</v>
      </c>
      <c r="J18" s="20">
        <f>calculoF!I53</f>
        <v>0</v>
      </c>
      <c r="K18" s="20">
        <f>calculoF!J53</f>
        <v>0</v>
      </c>
      <c r="L18" s="20">
        <f>calculoF!K53</f>
        <v>0</v>
      </c>
      <c r="M18" s="20">
        <f>calculoF!L53</f>
        <v>0</v>
      </c>
      <c r="N18" s="20">
        <f>L18-M18</f>
        <v>0</v>
      </c>
      <c r="O18" s="20">
        <f>calculoF!M53</f>
        <v>0</v>
      </c>
      <c r="P18" s="35"/>
      <c r="Q18" s="33"/>
      <c r="R18" s="34"/>
      <c r="S18" s="33"/>
    </row>
    <row r="19" spans="6:19" ht="12.75">
      <c r="F19" s="33"/>
      <c r="G19" s="50" t="str">
        <f>calculoF!F54</f>
        <v>Nova Zelândia</v>
      </c>
      <c r="H19" s="20">
        <f>calculoF!G54</f>
        <v>0</v>
      </c>
      <c r="I19" s="20">
        <f>calculoF!H54</f>
        <v>0</v>
      </c>
      <c r="J19" s="20">
        <f>calculoF!I54</f>
        <v>0</v>
      </c>
      <c r="K19" s="20">
        <f>calculoF!J54</f>
        <v>0</v>
      </c>
      <c r="L19" s="20">
        <f>calculoF!K54</f>
        <v>0</v>
      </c>
      <c r="M19" s="20">
        <f>calculoF!L54</f>
        <v>0</v>
      </c>
      <c r="N19" s="20">
        <f>L19-M19</f>
        <v>0</v>
      </c>
      <c r="O19" s="20">
        <f>calculoF!M54</f>
        <v>0</v>
      </c>
      <c r="P19" s="36"/>
      <c r="Q19" s="33"/>
      <c r="R19" s="34"/>
      <c r="S19" s="33"/>
    </row>
    <row r="20" spans="6:19" ht="12.75">
      <c r="F20" s="33"/>
      <c r="G20" s="50" t="str">
        <f>calculoF!F55</f>
        <v>Eslovaquia</v>
      </c>
      <c r="H20" s="20">
        <f>calculoF!G55</f>
        <v>0</v>
      </c>
      <c r="I20" s="20">
        <f>calculoF!H55</f>
        <v>0</v>
      </c>
      <c r="J20" s="20">
        <f>calculoF!I55</f>
        <v>0</v>
      </c>
      <c r="K20" s="20">
        <f>calculoF!J55</f>
        <v>0</v>
      </c>
      <c r="L20" s="20">
        <f>calculoF!K55</f>
        <v>0</v>
      </c>
      <c r="M20" s="20">
        <f>calculoF!L55</f>
        <v>0</v>
      </c>
      <c r="N20" s="20">
        <f>L20-M20</f>
        <v>0</v>
      </c>
      <c r="O20" s="20">
        <f>calculoF!M55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M7 J8:K8">
    <cfRule type="expression" priority="3" dxfId="0" stopIfTrue="1">
      <formula>IF(OR($L$7="en juego",$L$7="hoy!"),1,0)</formula>
    </cfRule>
  </conditionalFormatting>
  <conditionalFormatting sqref="B6:M6 J10:K11">
    <cfRule type="expression" priority="4" dxfId="0" stopIfTrue="1">
      <formula>IF(OR($L$6="en juego",$L$6="hoy!"),1,0)</formula>
    </cfRule>
  </conditionalFormatting>
  <conditionalFormatting sqref="H9:I9 B8:I8 L8:M8">
    <cfRule type="expression" priority="5" dxfId="0" stopIfTrue="1">
      <formula>IF(OR($L$8="en juego",$L$8="hoy!"),1,0)</formula>
    </cfRule>
  </conditionalFormatting>
  <conditionalFormatting sqref="B9:G9 J9:M9">
    <cfRule type="expression" priority="6" dxfId="0" stopIfTrue="1">
      <formula>IF(OR($L$9="en juego",$L$9="hoy!"),1,0)</formula>
    </cfRule>
  </conditionalFormatting>
  <conditionalFormatting sqref="H11:I11 B10:I10 L10:M10">
    <cfRule type="expression" priority="7" dxfId="0" stopIfTrue="1">
      <formula>IF(OR($L$10="en juego",$L$10="hoy!"),1,0)</formula>
    </cfRule>
  </conditionalFormatting>
  <conditionalFormatting sqref="B11:G11 L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RowColHeaders="0" showOutlineSymbols="0" zoomScalePageLayoutView="0" workbookViewId="0" topLeftCell="A1">
      <selection activeCell="A1" sqref="A1:S2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6" width="14.28125" style="4" customWidth="1"/>
    <col min="7" max="7" width="14.710937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0" s="10" customFormat="1" ht="34.5" customHeight="1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130"/>
    </row>
    <row r="2" spans="1:20" s="10" customFormat="1" ht="3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52"/>
    </row>
    <row r="3" spans="7:18" ht="21" customHeight="1">
      <c r="G3" s="11"/>
      <c r="L3" s="12"/>
      <c r="M3" s="13"/>
      <c r="R3" s="11"/>
    </row>
    <row r="4" spans="2:19" ht="12.75" customHeight="1">
      <c r="B4" s="215" t="s">
        <v>103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9" t="s">
        <v>61</v>
      </c>
      <c r="Q4" s="220"/>
      <c r="R4" s="220"/>
      <c r="S4" s="220"/>
    </row>
    <row r="5" spans="2:19" ht="12.75" customHeight="1">
      <c r="B5" s="15"/>
      <c r="C5" s="15"/>
      <c r="D5" s="15"/>
      <c r="E5" s="15"/>
      <c r="F5" s="15"/>
      <c r="G5" s="16" t="s">
        <v>14</v>
      </c>
      <c r="H5" s="210" t="s">
        <v>15</v>
      </c>
      <c r="I5" s="210"/>
      <c r="J5" s="211" t="s">
        <v>54</v>
      </c>
      <c r="K5" s="211"/>
      <c r="L5" s="211" t="s">
        <v>24</v>
      </c>
      <c r="M5" s="211"/>
      <c r="P5" s="220"/>
      <c r="Q5" s="220"/>
      <c r="R5" s="220"/>
      <c r="S5" s="220"/>
    </row>
    <row r="6" spans="1:18" ht="14.25" customHeight="1">
      <c r="A6" s="14">
        <f>IF(OR(L6="finalizado",L6="en juego",L6="hoy!"),"Ø","")</f>
      </c>
      <c r="B6" s="194" t="str">
        <f>Q7</f>
        <v>Brasil</v>
      </c>
      <c r="C6" s="18"/>
      <c r="D6" s="19" t="s">
        <v>0</v>
      </c>
      <c r="E6" s="18"/>
      <c r="F6" s="20" t="str">
        <f>Q9</f>
        <v>Córeia do Norte</v>
      </c>
      <c r="G6" s="129" t="s">
        <v>124</v>
      </c>
      <c r="H6" s="216">
        <v>40344</v>
      </c>
      <c r="I6" s="216"/>
      <c r="J6" s="213">
        <v>0.6458333333333334</v>
      </c>
      <c r="K6" s="213"/>
      <c r="L6" s="212">
        <f aca="true" t="shared" si="0" ref="L6:L11">IF(OR(H6="",J6="",H6&lt;$Q$24),"",IF(H6=$Q$24,IF(AND(J6&lt;=$R$26,$R$26&lt;=(J6+0.08333333333)),"em jogo",IF($R$26&lt;J6,"hoje!","finalizado")),IF($Q$24&gt;H6,"finalizado","")))</f>
      </c>
      <c r="M6" s="212"/>
      <c r="R6" s="11"/>
    </row>
    <row r="7" spans="1:19" ht="14.25" customHeight="1">
      <c r="A7" s="14">
        <f>IF(OR(L7="finalizado",L7="en juego",L7="hoy!"),"Ø","")</f>
      </c>
      <c r="B7" s="17" t="str">
        <f>Q11</f>
        <v>Costa do Marfim</v>
      </c>
      <c r="C7" s="18"/>
      <c r="D7" s="19" t="s">
        <v>0</v>
      </c>
      <c r="E7" s="18"/>
      <c r="F7" s="20" t="str">
        <f>Q13</f>
        <v>Portugal</v>
      </c>
      <c r="G7" s="129" t="s">
        <v>134</v>
      </c>
      <c r="H7" s="216">
        <v>40344</v>
      </c>
      <c r="I7" s="216"/>
      <c r="J7" s="213">
        <v>0.4583333333333333</v>
      </c>
      <c r="K7" s="213"/>
      <c r="L7" s="212">
        <f t="shared" si="0"/>
      </c>
      <c r="M7" s="212"/>
      <c r="N7" s="21"/>
      <c r="O7" s="22"/>
      <c r="P7" s="162"/>
      <c r="Q7" s="218" t="s">
        <v>38</v>
      </c>
      <c r="R7" s="218"/>
      <c r="S7" s="162"/>
    </row>
    <row r="8" spans="1:19" ht="14.25" customHeight="1">
      <c r="A8" s="14">
        <f>IF(OR(L8="finalizado",L8="en juego",L8="hoy!"),"Ø","")</f>
      </c>
      <c r="B8" s="194" t="str">
        <f>Q7</f>
        <v>Brasil</v>
      </c>
      <c r="C8" s="18"/>
      <c r="D8" s="19" t="s">
        <v>0</v>
      </c>
      <c r="E8" s="18"/>
      <c r="F8" s="20" t="str">
        <f>Q11</f>
        <v>Costa do Marfim</v>
      </c>
      <c r="G8" s="129" t="s">
        <v>124</v>
      </c>
      <c r="H8" s="216">
        <v>40349</v>
      </c>
      <c r="I8" s="216"/>
      <c r="J8" s="213">
        <v>0.6458333333333334</v>
      </c>
      <c r="K8" s="213"/>
      <c r="L8" s="212">
        <f t="shared" si="0"/>
      </c>
      <c r="M8" s="212"/>
      <c r="N8" s="23"/>
      <c r="O8" s="24"/>
      <c r="P8" s="163"/>
      <c r="Q8" s="60"/>
      <c r="R8" s="71"/>
      <c r="S8" s="163"/>
    </row>
    <row r="9" spans="1:19" ht="14.25" customHeight="1">
      <c r="A9" s="14">
        <f>IF(OR(L9="finalizado",L9="en juego",L9="hoy!"),"Ø","")</f>
      </c>
      <c r="B9" s="17" t="str">
        <f>Q13</f>
        <v>Portugal</v>
      </c>
      <c r="C9" s="18"/>
      <c r="D9" s="19" t="s">
        <v>0</v>
      </c>
      <c r="E9" s="18"/>
      <c r="F9" s="20" t="str">
        <f>Q9</f>
        <v>Córeia do Norte</v>
      </c>
      <c r="G9" s="129" t="s">
        <v>125</v>
      </c>
      <c r="H9" s="216">
        <v>40350</v>
      </c>
      <c r="I9" s="216"/>
      <c r="J9" s="213">
        <v>0.3541666666666667</v>
      </c>
      <c r="K9" s="213"/>
      <c r="L9" s="212">
        <f t="shared" si="0"/>
      </c>
      <c r="M9" s="212"/>
      <c r="P9" s="162"/>
      <c r="Q9" s="218" t="s">
        <v>149</v>
      </c>
      <c r="R9" s="218"/>
      <c r="S9" s="162"/>
    </row>
    <row r="10" spans="1:19" ht="14.25" customHeight="1">
      <c r="A10" s="14">
        <f>IF(OR(L10="finalizado",L10="em jogo",L10="hoje!"),"Ø","")</f>
      </c>
      <c r="B10" s="17" t="str">
        <f>Q13</f>
        <v>Portugal</v>
      </c>
      <c r="C10" s="18"/>
      <c r="D10" s="19" t="s">
        <v>0</v>
      </c>
      <c r="E10" s="18"/>
      <c r="F10" s="195" t="str">
        <f>Q7</f>
        <v>Brasil</v>
      </c>
      <c r="G10" s="129" t="s">
        <v>135</v>
      </c>
      <c r="H10" s="216">
        <v>40354</v>
      </c>
      <c r="I10" s="216"/>
      <c r="J10" s="213">
        <v>0.4583333333333333</v>
      </c>
      <c r="K10" s="213"/>
      <c r="L10" s="212">
        <f t="shared" si="0"/>
      </c>
      <c r="M10" s="212"/>
      <c r="P10" s="163"/>
      <c r="Q10" s="60"/>
      <c r="R10" s="71"/>
      <c r="S10" s="163"/>
    </row>
    <row r="11" spans="1:19" ht="14.25" customHeight="1">
      <c r="A11" s="14">
        <f>IF(OR(L11="finalizado",L11="em jogo",L11="hoje!"),"Ø","")</f>
      </c>
      <c r="B11" s="17" t="str">
        <f>Q9</f>
        <v>Córeia do Norte</v>
      </c>
      <c r="C11" s="18"/>
      <c r="D11" s="19" t="s">
        <v>0</v>
      </c>
      <c r="E11" s="18"/>
      <c r="F11" s="20" t="str">
        <f>Q11</f>
        <v>Costa do Marfim</v>
      </c>
      <c r="G11" s="129" t="s">
        <v>141</v>
      </c>
      <c r="H11" s="216">
        <v>40354</v>
      </c>
      <c r="I11" s="216"/>
      <c r="J11" s="213">
        <v>0.4583333333333333</v>
      </c>
      <c r="K11" s="213"/>
      <c r="L11" s="212">
        <f t="shared" si="0"/>
      </c>
      <c r="M11" s="212"/>
      <c r="P11" s="162"/>
      <c r="Q11" s="218" t="s">
        <v>85</v>
      </c>
      <c r="R11" s="218"/>
      <c r="S11" s="162"/>
    </row>
    <row r="12" spans="2:19" ht="13.5" customHeight="1">
      <c r="B12" s="25"/>
      <c r="C12" s="26"/>
      <c r="D12" s="27"/>
      <c r="E12" s="26"/>
      <c r="F12" s="15"/>
      <c r="G12" s="28"/>
      <c r="H12" s="27"/>
      <c r="I12" s="29"/>
      <c r="J12" s="12"/>
      <c r="K12" s="30"/>
      <c r="L12" s="31"/>
      <c r="M12" s="31"/>
      <c r="P12" s="163"/>
      <c r="Q12" s="60"/>
      <c r="R12" s="71"/>
      <c r="S12" s="163"/>
    </row>
    <row r="13" spans="2:19" ht="13.5" customHeight="1">
      <c r="B13" s="25"/>
      <c r="C13" s="26"/>
      <c r="D13" s="27"/>
      <c r="E13" s="26"/>
      <c r="F13" s="15"/>
      <c r="G13" s="28"/>
      <c r="H13" s="27"/>
      <c r="I13" s="27"/>
      <c r="J13" s="12"/>
      <c r="K13" s="32"/>
      <c r="L13" s="31"/>
      <c r="M13" s="31"/>
      <c r="P13" s="162"/>
      <c r="Q13" s="218" t="s">
        <v>39</v>
      </c>
      <c r="R13" s="218"/>
      <c r="S13" s="162"/>
    </row>
    <row r="14" spans="2:18" ht="13.5" customHeight="1">
      <c r="B14" s="25"/>
      <c r="C14" s="26"/>
      <c r="D14" s="27"/>
      <c r="E14" s="26"/>
      <c r="F14" s="15"/>
      <c r="G14" s="28"/>
      <c r="H14" s="27"/>
      <c r="I14" s="27"/>
      <c r="J14" s="12"/>
      <c r="K14" s="32"/>
      <c r="L14" s="31"/>
      <c r="M14" s="31"/>
      <c r="Q14" s="157"/>
      <c r="R14" s="160"/>
    </row>
    <row r="15" spans="7:18" ht="12.75">
      <c r="G15" s="215" t="s">
        <v>105</v>
      </c>
      <c r="H15" s="215"/>
      <c r="I15" s="215"/>
      <c r="J15" s="215"/>
      <c r="K15" s="215"/>
      <c r="L15" s="215"/>
      <c r="M15" s="215"/>
      <c r="N15" s="215"/>
      <c r="O15" s="215"/>
      <c r="R15" s="11"/>
    </row>
    <row r="16" spans="7:18" ht="12.75">
      <c r="G16" s="48"/>
      <c r="H16" s="49" t="s">
        <v>16</v>
      </c>
      <c r="I16" s="49" t="s">
        <v>17</v>
      </c>
      <c r="J16" s="49" t="s">
        <v>18</v>
      </c>
      <c r="K16" s="49" t="s">
        <v>19</v>
      </c>
      <c r="L16" s="49" t="s">
        <v>20</v>
      </c>
      <c r="M16" s="49" t="s">
        <v>21</v>
      </c>
      <c r="N16" s="49" t="s">
        <v>22</v>
      </c>
      <c r="O16" s="49" t="s">
        <v>23</v>
      </c>
      <c r="R16" s="11"/>
    </row>
    <row r="17" spans="6:19" ht="12.75">
      <c r="F17" s="53" t="s">
        <v>108</v>
      </c>
      <c r="G17" s="50" t="str">
        <f>calculoG!F52</f>
        <v>Brasil</v>
      </c>
      <c r="H17" s="20">
        <f>calculoG!G52</f>
        <v>0</v>
      </c>
      <c r="I17" s="20">
        <f>calculoG!H52</f>
        <v>0</v>
      </c>
      <c r="J17" s="20">
        <f>calculoG!I52</f>
        <v>0</v>
      </c>
      <c r="K17" s="20">
        <f>calculoG!J52</f>
        <v>0</v>
      </c>
      <c r="L17" s="20">
        <f>calculoG!K52</f>
        <v>0</v>
      </c>
      <c r="M17" s="20">
        <f>calculoG!L52</f>
        <v>0</v>
      </c>
      <c r="N17" s="20">
        <f>L17-M17</f>
        <v>0</v>
      </c>
      <c r="O17" s="20">
        <f>calculoG!M52</f>
        <v>0</v>
      </c>
      <c r="P17" s="35"/>
      <c r="Q17" s="33"/>
      <c r="R17" s="34"/>
      <c r="S17" s="33"/>
    </row>
    <row r="18" spans="6:19" ht="12.75">
      <c r="F18" s="53" t="s">
        <v>108</v>
      </c>
      <c r="G18" s="50" t="str">
        <f>calculoG!F53</f>
        <v>Córeia do Norte</v>
      </c>
      <c r="H18" s="20">
        <f>calculoG!G53</f>
        <v>0</v>
      </c>
      <c r="I18" s="20">
        <f>calculoG!H53</f>
        <v>0</v>
      </c>
      <c r="J18" s="20">
        <f>calculoG!I53</f>
        <v>0</v>
      </c>
      <c r="K18" s="20">
        <f>calculoG!J53</f>
        <v>0</v>
      </c>
      <c r="L18" s="20">
        <f>calculoG!K53</f>
        <v>0</v>
      </c>
      <c r="M18" s="20">
        <f>calculoG!L53</f>
        <v>0</v>
      </c>
      <c r="N18" s="20">
        <f>L18-M18</f>
        <v>0</v>
      </c>
      <c r="O18" s="20">
        <f>calculoG!M53</f>
        <v>0</v>
      </c>
      <c r="P18" s="35"/>
      <c r="Q18" s="33"/>
      <c r="R18" s="34"/>
      <c r="S18" s="33"/>
    </row>
    <row r="19" spans="6:19" ht="12.75">
      <c r="F19" s="33"/>
      <c r="G19" s="50" t="str">
        <f>calculoG!F54</f>
        <v>Costa do Marfim</v>
      </c>
      <c r="H19" s="20">
        <f>calculoG!G54</f>
        <v>0</v>
      </c>
      <c r="I19" s="20">
        <f>calculoG!H54</f>
        <v>0</v>
      </c>
      <c r="J19" s="20">
        <f>calculoG!I54</f>
        <v>0</v>
      </c>
      <c r="K19" s="20">
        <f>calculoG!J54</f>
        <v>0</v>
      </c>
      <c r="L19" s="20">
        <f>calculoG!K54</f>
        <v>0</v>
      </c>
      <c r="M19" s="20">
        <f>calculoG!L54</f>
        <v>0</v>
      </c>
      <c r="N19" s="20">
        <f>L19-M19</f>
        <v>0</v>
      </c>
      <c r="O19" s="20">
        <f>calculoG!M54</f>
        <v>0</v>
      </c>
      <c r="P19" s="36"/>
      <c r="Q19" s="33"/>
      <c r="R19" s="34"/>
      <c r="S19" s="33"/>
    </row>
    <row r="20" spans="6:19" ht="12.75">
      <c r="F20" s="33"/>
      <c r="G20" s="50" t="str">
        <f>calculoG!F55</f>
        <v>Portugal</v>
      </c>
      <c r="H20" s="20">
        <f>calculoG!G55</f>
        <v>0</v>
      </c>
      <c r="I20" s="20">
        <f>calculoG!H55</f>
        <v>0</v>
      </c>
      <c r="J20" s="20">
        <f>calculoG!I55</f>
        <v>0</v>
      </c>
      <c r="K20" s="20">
        <f>calculoG!J55</f>
        <v>0</v>
      </c>
      <c r="L20" s="20">
        <f>calculoG!K55</f>
        <v>0</v>
      </c>
      <c r="M20" s="20">
        <f>calculoG!L55</f>
        <v>0</v>
      </c>
      <c r="N20" s="20">
        <f>L20-M20</f>
        <v>0</v>
      </c>
      <c r="O20" s="20">
        <f>calculoG!M55</f>
        <v>0</v>
      </c>
      <c r="P20" s="36"/>
      <c r="Q20" s="36"/>
      <c r="R20" s="37"/>
      <c r="S20" s="36"/>
    </row>
    <row r="21" spans="14:19" ht="12.75">
      <c r="N21" s="38"/>
      <c r="O21" s="38"/>
      <c r="P21" s="38"/>
      <c r="Q21" s="38"/>
      <c r="R21" s="39"/>
      <c r="S21" s="38"/>
    </row>
    <row r="22" spans="14:19" ht="11.25" customHeight="1">
      <c r="N22" s="38"/>
      <c r="O22" s="38"/>
      <c r="P22" s="38"/>
      <c r="Q22" s="38"/>
      <c r="R22" s="39"/>
      <c r="S22" s="38"/>
    </row>
    <row r="23" spans="14:19" ht="9" customHeight="1">
      <c r="N23" s="38"/>
      <c r="O23" s="38"/>
      <c r="P23" s="38"/>
      <c r="R23" s="40"/>
      <c r="S23" s="38"/>
    </row>
    <row r="24" spans="2:19" ht="13.5">
      <c r="B24" s="47"/>
      <c r="C24" s="56"/>
      <c r="N24" s="51"/>
      <c r="O24" s="51"/>
      <c r="P24" s="41" t="s">
        <v>104</v>
      </c>
      <c r="Q24" s="42">
        <f ca="1">TODAY()</f>
        <v>40231</v>
      </c>
      <c r="R24" s="43">
        <f ca="1">NOW()</f>
        <v>40231.558308217594</v>
      </c>
      <c r="S24" s="44"/>
    </row>
    <row r="25" spans="1:20" ht="12.75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8">
        <f>HOUR(R24)</f>
        <v>13</v>
      </c>
      <c r="R25" s="8">
        <f>MINUTE(R24)</f>
        <v>23</v>
      </c>
      <c r="S25" s="7"/>
      <c r="T25" s="5"/>
    </row>
    <row r="26" spans="2:20" ht="12.75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5"/>
      <c r="Q26" s="8"/>
      <c r="R26" s="9">
        <f>TIME(Q25,R25,0)</f>
        <v>0.5576388888888889</v>
      </c>
      <c r="S26" s="7"/>
      <c r="T26" s="5"/>
    </row>
    <row r="27" spans="14:19" ht="12.75">
      <c r="N27" s="38"/>
      <c r="O27" s="38"/>
      <c r="P27" s="38"/>
      <c r="Q27" s="44"/>
      <c r="R27" s="44"/>
      <c r="S27" s="44"/>
    </row>
    <row r="28" spans="14:19" ht="12.75">
      <c r="N28" s="38"/>
      <c r="O28" s="38"/>
      <c r="P28" s="38"/>
      <c r="Q28" s="217" t="s">
        <v>53</v>
      </c>
      <c r="R28" s="217"/>
      <c r="S28" s="44"/>
    </row>
    <row r="29" spans="14:19" ht="12.75">
      <c r="N29" s="38"/>
      <c r="O29" s="38"/>
      <c r="P29" s="38"/>
      <c r="Q29" s="44"/>
      <c r="R29" s="44"/>
      <c r="S29" s="44"/>
    </row>
  </sheetData>
  <sheetProtection password="C826" sheet="1" objects="1" scenarios="1"/>
  <mergeCells count="30"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</mergeCells>
  <conditionalFormatting sqref="F17:F18">
    <cfRule type="expression" priority="1" dxfId="40" stopIfTrue="1">
      <formula>IF(AND($H$17=3,$H$18=3,$H$19=3,$H$20=3),1,0)</formula>
    </cfRule>
  </conditionalFormatting>
  <conditionalFormatting sqref="G17:O18">
    <cfRule type="expression" priority="2" dxfId="0" stopIfTrue="1">
      <formula>IF(AND($H$17=3,$H$18=3,$H$19=3,$H$20=3),1,0)</formula>
    </cfRule>
  </conditionalFormatting>
  <conditionalFormatting sqref="B7:G7 J7:M7 J8:K8">
    <cfRule type="expression" priority="3" dxfId="0" stopIfTrue="1">
      <formula>IF(OR($L$7="en juego",$L$7="hoy!"),1,0)</formula>
    </cfRule>
  </conditionalFormatting>
  <conditionalFormatting sqref="B6:M6 H7:I7">
    <cfRule type="expression" priority="4" dxfId="0" stopIfTrue="1">
      <formula>IF(OR($L$6="en juego",$L$6="hoy!"),1,0)</formula>
    </cfRule>
  </conditionalFormatting>
  <conditionalFormatting sqref="B8:I8 L8:M8">
    <cfRule type="expression" priority="5" dxfId="0" stopIfTrue="1">
      <formula>IF(OR($L$8="en juego",$L$8="hoy!"),1,0)</formula>
    </cfRule>
  </conditionalFormatting>
  <conditionalFormatting sqref="B9:M9">
    <cfRule type="expression" priority="6" dxfId="0" stopIfTrue="1">
      <formula>IF(OR($L$9="en juego",$L$9="hoy!"),1,0)</formula>
    </cfRule>
  </conditionalFormatting>
  <conditionalFormatting sqref="B10:M10 H11:K11">
    <cfRule type="expression" priority="7" dxfId="0" stopIfTrue="1">
      <formula>IF(OR($L$10="en juego",$L$10="hoy!"),1,0)</formula>
    </cfRule>
  </conditionalFormatting>
  <conditionalFormatting sqref="B11:G11 L11:M11">
    <cfRule type="expression" priority="8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Principal!A1" display="Menu Principal"/>
  </hyperlinks>
  <printOptions/>
  <pageMargins left="0.787401575" right="0.787401575" top="0.984251969" bottom="0.984251969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Pelegrini</cp:lastModifiedBy>
  <cp:lastPrinted>2006-06-18T00:37:34Z</cp:lastPrinted>
  <dcterms:created xsi:type="dcterms:W3CDTF">2001-10-15T19:26:14Z</dcterms:created>
  <dcterms:modified xsi:type="dcterms:W3CDTF">2010-02-22T16:24:42Z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